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dam\Desktop\"/>
    </mc:Choice>
  </mc:AlternateContent>
  <bookViews>
    <workbookView xWindow="0" yWindow="0" windowWidth="28800" windowHeight="12255" activeTab="1"/>
  </bookViews>
  <sheets>
    <sheet name="1차 2015-LWW 8종" sheetId="2" r:id="rId1"/>
    <sheet name="2차 2019-LWW Classic 1180종" sheetId="3" r:id="rId2"/>
  </sheets>
  <calcPr calcId="162913"/>
</workbook>
</file>

<file path=xl/calcChain.xml><?xml version="1.0" encoding="utf-8"?>
<calcChain xmlns="http://schemas.openxmlformats.org/spreadsheetml/2006/main">
  <c r="F1181" i="3" l="1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9" i="2" l="1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<sst xmlns="http://schemas.openxmlformats.org/spreadsheetml/2006/main" count="10714" uniqueCount="4737">
  <si>
    <t>0-7817-6666-4</t>
  </si>
  <si>
    <t>978-1-6054-7476-2</t>
  </si>
  <si>
    <t>19th_Edition</t>
  </si>
  <si>
    <t>Practical Cardiology: Evaluation and Treatment of Common Cardiovascular Disorders</t>
  </si>
  <si>
    <t>01337658</t>
  </si>
  <si>
    <t>01257036</t>
  </si>
  <si>
    <t>978-1-4511-8655-0</t>
  </si>
  <si>
    <t>978-0-7817-4276-4</t>
  </si>
  <si>
    <t>17th_Edition</t>
  </si>
  <si>
    <t>978-1-6054-7049-8</t>
  </si>
  <si>
    <t>01436933</t>
  </si>
  <si>
    <t>0-7817-4436-9</t>
  </si>
  <si>
    <t>978-0-7817-6135-2</t>
  </si>
  <si>
    <t>01382616</t>
  </si>
  <si>
    <t>Pediatric Facts made Incredibly Quick!</t>
  </si>
  <si>
    <t>978-1-6054-7974-3</t>
  </si>
  <si>
    <t>978-0-7817-9595-1</t>
  </si>
  <si>
    <t>01382724</t>
  </si>
  <si>
    <t>01382881</t>
  </si>
  <si>
    <t>01382786</t>
  </si>
  <si>
    <t>01279700</t>
  </si>
  <si>
    <t>Strategies for Managing Multisystem Disorders</t>
  </si>
  <si>
    <t>01439398</t>
  </si>
  <si>
    <t>01337289</t>
  </si>
  <si>
    <t>Clinical Scenarios in Vascular Surgery</t>
  </si>
  <si>
    <t>01279767</t>
  </si>
  <si>
    <t>0-7817-7166-8</t>
  </si>
  <si>
    <t>Multiple Sclerosis and Demyelinating Diseases (Advances in Neurology)</t>
  </si>
  <si>
    <t>0-7817-8163-9</t>
  </si>
  <si>
    <t>978-0-7817-5129-2</t>
  </si>
  <si>
    <t>0-7817-8658-4</t>
  </si>
  <si>
    <t>01745865</t>
  </si>
  <si>
    <t>01279737</t>
  </si>
  <si>
    <t>Hospital Medicine</t>
  </si>
  <si>
    <t>978-0-7817-7815-2</t>
  </si>
  <si>
    <t>Lippincott's Nursing Drug Guide 2012</t>
  </si>
  <si>
    <t>01626611</t>
  </si>
  <si>
    <t>1-4511-7640-6</t>
  </si>
  <si>
    <t>978-0-7817-4795-0</t>
  </si>
  <si>
    <t>1-5825-5445-5</t>
  </si>
  <si>
    <t>978-0-7817-1928-5</t>
  </si>
  <si>
    <t>978-0-7817-2321-3</t>
  </si>
  <si>
    <t>Lippincott Manual of Nursing Practice Series: Assessment</t>
  </si>
  <si>
    <t>978-0-7817-6443-8</t>
  </si>
  <si>
    <t>Grabb and Smith's Plastic Surgery</t>
  </si>
  <si>
    <t>01745910</t>
  </si>
  <si>
    <t>01435384</t>
  </si>
  <si>
    <t>0-7817-7327-X</t>
  </si>
  <si>
    <t>0-7817-9585-0</t>
  </si>
  <si>
    <t>978-0-7817-8198-5</t>
  </si>
  <si>
    <t>Psychiatric Issues in Epilepsy: A Practical Guide to Diagnosis and Treatment</t>
  </si>
  <si>
    <t>01382562</t>
  </si>
  <si>
    <t>978-1-6054-7260-7</t>
  </si>
  <si>
    <t>01337302</t>
  </si>
  <si>
    <t>Manual of Clinical Hematology</t>
  </si>
  <si>
    <t>978-1-5825-5423-5</t>
  </si>
  <si>
    <t>978-1-5825-5462-4</t>
  </si>
  <si>
    <t>978-1-6054-7443-4</t>
  </si>
  <si>
    <t>978-1-5825-5939-1</t>
  </si>
  <si>
    <t>978-1-6054-7575-2</t>
  </si>
  <si>
    <t>978-1-4511-1301-3</t>
  </si>
  <si>
    <t>01382584</t>
  </si>
  <si>
    <t>01376497</t>
  </si>
  <si>
    <t>1-6054-7260-3</t>
  </si>
  <si>
    <t>01223033</t>
  </si>
  <si>
    <t>01382456</t>
  </si>
  <si>
    <t>Handbook of Sleep Medicine</t>
  </si>
  <si>
    <t>Berek &amp; Novak's Gynecology</t>
  </si>
  <si>
    <t>Core Curriculum, The: Breast Imaging</t>
  </si>
  <si>
    <t>Ocular Syndromes and Systemic Diseases</t>
  </si>
  <si>
    <t>978-1-4511-7640-7</t>
  </si>
  <si>
    <t>1-4511-7267-2</t>
  </si>
  <si>
    <t>978-0-7817-7919-7</t>
  </si>
  <si>
    <t>Nursing Diagnosis Reference Manual</t>
  </si>
  <si>
    <t>01279738</t>
  </si>
  <si>
    <t>01382433</t>
  </si>
  <si>
    <t>0-7817-9203-7</t>
  </si>
  <si>
    <t>Pediatric Nursing</t>
  </si>
  <si>
    <t>01382577</t>
  </si>
  <si>
    <t>Glenn's Urologic Surgery</t>
  </si>
  <si>
    <t>978-1-4511-4263-1</t>
  </si>
  <si>
    <t>ShortCode</t>
  </si>
  <si>
    <t>1-5825-5266-5</t>
  </si>
  <si>
    <t>0-7817-8263-5</t>
  </si>
  <si>
    <t>978-0-7817-9504-3</t>
  </si>
  <si>
    <t>0-7817-7596-5</t>
  </si>
  <si>
    <t>Just the Facts: Pathophysiology</t>
  </si>
  <si>
    <t>1-5825-5587-7</t>
  </si>
  <si>
    <t>978-0-7817-6762-0</t>
  </si>
  <si>
    <t>0-7817-5561-1</t>
  </si>
  <si>
    <t>0-7817-3607-2</t>
  </si>
  <si>
    <t>Addiction Medicine: An Evidence-Based Handbook</t>
  </si>
  <si>
    <t>1-5825-5938-4</t>
  </si>
  <si>
    <t>01438854</t>
  </si>
  <si>
    <t>978-1-5825-5282-8</t>
  </si>
  <si>
    <t>978-1-4511-1455-3</t>
  </si>
  <si>
    <t>Chapman's Orthopaedic Surgery</t>
  </si>
  <si>
    <t>0-7817-7520-5</t>
  </si>
  <si>
    <t>Kaplan &amp; Sadock's Pocket Handbook of Clinical Psychiatry</t>
  </si>
  <si>
    <t>Parkinson's Disease &amp; Movement Disorders</t>
  </si>
  <si>
    <t>978-0-7817-8387-3</t>
  </si>
  <si>
    <t>978-1-5825-5699-4</t>
  </si>
  <si>
    <t>01437542</t>
  </si>
  <si>
    <t>01256971</t>
  </si>
  <si>
    <t>01412546</t>
  </si>
  <si>
    <t>Diseases of the Kidney &amp; Urinary Tract</t>
  </si>
  <si>
    <t>01435375</t>
  </si>
  <si>
    <t>01382599</t>
  </si>
  <si>
    <t>1-6091-3968-2</t>
  </si>
  <si>
    <t>0-7817-4491-1</t>
  </si>
  <si>
    <t>01429596</t>
  </si>
  <si>
    <t>0-7817-9557-5</t>
  </si>
  <si>
    <t>0-7817-9517-6</t>
  </si>
  <si>
    <t>978-0-7817-4059-3</t>
  </si>
  <si>
    <t>978-1-6091-3646-8</t>
  </si>
  <si>
    <t>01382553</t>
  </si>
  <si>
    <t>00139950</t>
  </si>
  <si>
    <t>1-5825-5677-6</t>
  </si>
  <si>
    <t>01437533</t>
  </si>
  <si>
    <t>978-1-5825-5177-7</t>
  </si>
  <si>
    <t>978-0-7817-4185-9</t>
  </si>
  <si>
    <t>1-5825-5713-6</t>
  </si>
  <si>
    <t>0-7817-6855-1</t>
  </si>
  <si>
    <t>978-0-7817-9194-6</t>
  </si>
  <si>
    <t>1-6083-1288-7</t>
  </si>
  <si>
    <t>0-7817-7815-8</t>
  </si>
  <si>
    <t>Lippincott Manual of Nursing Practice Series: ECG Interpretation</t>
  </si>
  <si>
    <t>Skeletal Radiology: The Bare Bones</t>
  </si>
  <si>
    <t>0-7817-7831-X</t>
  </si>
  <si>
    <t>0-7817-5903-X</t>
  </si>
  <si>
    <t>01337257</t>
  </si>
  <si>
    <t>Substance Use Disorders: A Practical Guide</t>
  </si>
  <si>
    <t>0-7817-7957-X</t>
  </si>
  <si>
    <t>1-5825-5799-3</t>
  </si>
  <si>
    <t>978-0-7817-5455-2</t>
  </si>
  <si>
    <t>0-7817-9344-0</t>
  </si>
  <si>
    <t>01435761</t>
  </si>
  <si>
    <t>1-6054-7153-4</t>
  </si>
  <si>
    <t>1-5825-5728-4</t>
  </si>
  <si>
    <t>Spine</t>
  </si>
  <si>
    <t>978-0-7817-8977-6</t>
  </si>
  <si>
    <t>01257000</t>
  </si>
  <si>
    <t>01439428</t>
  </si>
  <si>
    <t>0-7817-9274-6</t>
  </si>
  <si>
    <t>01382820</t>
  </si>
  <si>
    <t>1-5825-5937-6</t>
  </si>
  <si>
    <t>Adult &amp; Pediatric Urology</t>
  </si>
  <si>
    <t>0-7817-7363-6</t>
  </si>
  <si>
    <t>01256985</t>
  </si>
  <si>
    <t>978-0-6833-0792-4</t>
  </si>
  <si>
    <t>01648002</t>
  </si>
  <si>
    <t>01382634</t>
  </si>
  <si>
    <t>Peripheral Vascular Disease: Basic Diagnostic and Therapeutic Approaches</t>
  </si>
  <si>
    <t>978-1-6083-1378-5</t>
  </si>
  <si>
    <t>978-1-6054-7355-0</t>
  </si>
  <si>
    <t>01382607</t>
  </si>
  <si>
    <t>978-0-7817-8951-6</t>
  </si>
  <si>
    <t>01634959</t>
  </si>
  <si>
    <t>01382460</t>
  </si>
  <si>
    <t>978-1-6083-1110-1</t>
  </si>
  <si>
    <t>978-0-7817-6854-2</t>
  </si>
  <si>
    <t>01382851</t>
  </si>
  <si>
    <t>978-0-7817-4637-3</t>
  </si>
  <si>
    <t>Infections of the Central Nervous System</t>
  </si>
  <si>
    <t>01412532</t>
  </si>
  <si>
    <t>Manual of Intensive Care Medicine</t>
  </si>
  <si>
    <t>01382770</t>
  </si>
  <si>
    <t>01382888</t>
  </si>
  <si>
    <t>01256965</t>
  </si>
  <si>
    <t>Lippincott Manual of Nursing Practice Pocket Guide: Medical-Surgical Nursing</t>
  </si>
  <si>
    <t>978-1-6083-1352-5</t>
  </si>
  <si>
    <t>13th_Edition</t>
  </si>
  <si>
    <t>00139986</t>
  </si>
  <si>
    <t>0-7817-5653-7</t>
  </si>
  <si>
    <t>978-0-7817-7332-4</t>
  </si>
  <si>
    <t>978-0-7817-8847-2</t>
  </si>
  <si>
    <t>0-7817-7191-9</t>
  </si>
  <si>
    <t>0-7817-3861-X</t>
  </si>
  <si>
    <t>978-1-6083-1249-8</t>
  </si>
  <si>
    <t>01382534</t>
  </si>
  <si>
    <t>Acute Care Surgery</t>
  </si>
  <si>
    <t>01429409</t>
  </si>
  <si>
    <t>978-0-7817-9867-9</t>
  </si>
  <si>
    <t>1-6083-1289-5</t>
  </si>
  <si>
    <t>01222988</t>
  </si>
  <si>
    <t>0-7817-1991-7</t>
  </si>
  <si>
    <t>01382499</t>
  </si>
  <si>
    <t>978-1-6054-7682-7</t>
  </si>
  <si>
    <t>Taylor's 10-Minute Diagnosis Manual: Symptoms and Signs in the Time-Limited Encounter</t>
  </si>
  <si>
    <t>01382725</t>
  </si>
  <si>
    <t>01382422</t>
  </si>
  <si>
    <t>Medication Administration Made Incredibly Easy!</t>
  </si>
  <si>
    <t>0-7817-4059-2</t>
  </si>
  <si>
    <t>1-4511-4726-0</t>
  </si>
  <si>
    <t>1-6083-1708-0</t>
  </si>
  <si>
    <t>1-4511-9082-4</t>
  </si>
  <si>
    <t>Master Techniques in Orthopaedic Surgery: The Hand</t>
  </si>
  <si>
    <t>Principles and Practice of Pediatric Surgery</t>
  </si>
  <si>
    <t>978-0-7817-8307-1</t>
  </si>
  <si>
    <t>CLEP-PB-E05</t>
  </si>
  <si>
    <t>01439389</t>
  </si>
  <si>
    <t>978-0-7817-3445-5</t>
  </si>
  <si>
    <t>0-7817-5731-2</t>
  </si>
  <si>
    <t>2014 Lippincott's Nursing Drug Guide</t>
  </si>
  <si>
    <t>978-0-7817-8483-2</t>
  </si>
  <si>
    <t>0-7817-9143-X</t>
  </si>
  <si>
    <t>978-0-7817-8752-9</t>
  </si>
  <si>
    <t>Nurse's Rapid Reference</t>
  </si>
  <si>
    <t>01382542</t>
  </si>
  <si>
    <t>978-1-4511-7659-9</t>
  </si>
  <si>
    <t>SCAI Interventional Cardiology Board Review Book</t>
  </si>
  <si>
    <t>Algorithmic Diagnosis of Symptoms and Signs: A Cost-Effective Approach</t>
  </si>
  <si>
    <t>ECG Interpretation: An Incredibly Easy! Workout</t>
  </si>
  <si>
    <t>0-7817-3045-7</t>
  </si>
  <si>
    <t>0-7817-6841-1</t>
  </si>
  <si>
    <t>Nursing Diagnosis: Application to Clinical Practice</t>
  </si>
  <si>
    <t>1-5825-5662-8</t>
  </si>
  <si>
    <t>Cardiac Surgery: Safeguards and Pitfalls in Operative Technique</t>
  </si>
  <si>
    <t>01223038</t>
  </si>
  <si>
    <t>1-4511-4491-1</t>
  </si>
  <si>
    <t>0-7817-7213-3</t>
  </si>
  <si>
    <t>Werner &amp; Ingbar's The Thyroid: A Fundamental &amp; Clinical Text</t>
  </si>
  <si>
    <t>Bethesda Handbook of Clinical Hematology, The</t>
  </si>
  <si>
    <t>978-0-7817-4380-8</t>
  </si>
  <si>
    <t>1-5825-5831-0</t>
  </si>
  <si>
    <t>01222975</t>
  </si>
  <si>
    <t>978-1-5825-5319-1</t>
  </si>
  <si>
    <t>01437511</t>
  </si>
  <si>
    <t>01437512</t>
  </si>
  <si>
    <t>1-5825-5854-X</t>
  </si>
  <si>
    <t>978-0-7817-9763-4</t>
  </si>
  <si>
    <t>Review Questions in Ophthalmology: A Question and Answer Book</t>
  </si>
  <si>
    <t>01382622</t>
  </si>
  <si>
    <t>978-1-5825-5677-2</t>
  </si>
  <si>
    <t>00139973</t>
  </si>
  <si>
    <t>1-4511-1360-9</t>
  </si>
  <si>
    <t>978-1-5825-5203-3</t>
  </si>
  <si>
    <t>0-7817-6630-3</t>
  </si>
  <si>
    <t>1-6054-7428-2</t>
  </si>
  <si>
    <t>01382623</t>
  </si>
  <si>
    <t>0-7817-5290-6</t>
  </si>
  <si>
    <t>Pocket Book of Infectious Disease Therapy</t>
  </si>
  <si>
    <t>Handbook of Targeted Cancer Therapy</t>
  </si>
  <si>
    <t>Biopsy Interpretation of the Gastrointestinal Tract Mucosa: Volume 2: Neoplastic</t>
  </si>
  <si>
    <t>Interpretation of Diagnostic Tests</t>
  </si>
  <si>
    <t>01400417</t>
  </si>
  <si>
    <t>0-7817-4922-0</t>
  </si>
  <si>
    <t>0-7817-5277-9</t>
  </si>
  <si>
    <t>Ostergard's Urogynecology and Pelvic Floor Dysfunction</t>
  </si>
  <si>
    <t>0-7817-7899-9</t>
  </si>
  <si>
    <t>01412556</t>
  </si>
  <si>
    <t>978-0-7817-4524-6</t>
  </si>
  <si>
    <t>Practical Guide to Cardiac Pacing, A</t>
  </si>
  <si>
    <t>01382744</t>
  </si>
  <si>
    <t>978-0-7817-4995-4</t>
  </si>
  <si>
    <t>978-0-6833-0723-8</t>
  </si>
  <si>
    <t>978-1-4511-0960-3</t>
  </si>
  <si>
    <t>Cardiac Resynchronization Therapy in Heart Failure</t>
  </si>
  <si>
    <t>Manual of Family Practice</t>
  </si>
  <si>
    <t>14th_Edition</t>
  </si>
  <si>
    <t>0-7817-6884-5</t>
  </si>
  <si>
    <t>0-7817-7137-4</t>
  </si>
  <si>
    <t>01429703</t>
  </si>
  <si>
    <t>978-1-6083-1788-2</t>
  </si>
  <si>
    <t>1-5825-5939-2</t>
  </si>
  <si>
    <t>SkillMasters: 3-Minute Assessment</t>
  </si>
  <si>
    <t>0-7817-5650-2</t>
  </si>
  <si>
    <t>Bethesda Handbook of Clinical Oncology, The</t>
  </si>
  <si>
    <t>5 Minute Consult Clinical Companion to Women's Health, The</t>
  </si>
  <si>
    <t>1-5825-5184-7</t>
  </si>
  <si>
    <t>01337532</t>
  </si>
  <si>
    <t>01382867</t>
  </si>
  <si>
    <t>1-4511-9326-2</t>
  </si>
  <si>
    <t>0-7817-3867-9</t>
  </si>
  <si>
    <t>1-6054-7861-X</t>
  </si>
  <si>
    <t>01382628</t>
  </si>
  <si>
    <t>978-1-5825-5532-4</t>
  </si>
  <si>
    <t>978-0-7817-4297-9</t>
  </si>
  <si>
    <t>978-1-5825-5363-4</t>
  </si>
  <si>
    <t>978-0-7817-9507-4</t>
  </si>
  <si>
    <t>978-0-7817-7633-2</t>
  </si>
  <si>
    <t>01429406</t>
  </si>
  <si>
    <t>Lippincott Manual of Nursing Practice Series: Alarming Signs and Symptoms</t>
  </si>
  <si>
    <t>0-7817-3622-6</t>
  </si>
  <si>
    <t>01382619</t>
  </si>
  <si>
    <t>978-1-6091-3336-8</t>
  </si>
  <si>
    <t>0-7817-7617-1</t>
  </si>
  <si>
    <t>0-7817-3933-0</t>
  </si>
  <si>
    <t>1-5825-5903-1</t>
  </si>
  <si>
    <t>978-0-7817-6197-0</t>
  </si>
  <si>
    <t>0-7817-6314-2</t>
  </si>
  <si>
    <t>978-0-7817-2877-5</t>
  </si>
  <si>
    <t>Foot and Ankle</t>
  </si>
  <si>
    <t>0-7817-4088-6</t>
  </si>
  <si>
    <t>978-0-7817-7938-8</t>
  </si>
  <si>
    <t>00139991</t>
  </si>
  <si>
    <t>Rockwood and Wilkins' Fractures in Children</t>
  </si>
  <si>
    <t>Successful Randomized Trials: A Handbook for the 21st Century</t>
  </si>
  <si>
    <t>01745971</t>
  </si>
  <si>
    <t>0-7817-7871-9</t>
  </si>
  <si>
    <t>0-7817-5065-2</t>
  </si>
  <si>
    <t>978-0-6830-1673-4</t>
  </si>
  <si>
    <t>978-1-6054-7764-0</t>
  </si>
  <si>
    <t>978-0-7817-6300-4</t>
  </si>
  <si>
    <t>00139944</t>
  </si>
  <si>
    <t>0-7817-4771-6</t>
  </si>
  <si>
    <t>1-4511-3744-3</t>
  </si>
  <si>
    <t>1-6054-7472-X</t>
  </si>
  <si>
    <t>978-0-7817-4190-3</t>
  </si>
  <si>
    <t>0-7817-5238-8</t>
  </si>
  <si>
    <t>Nurse's Quick Check: Diseases</t>
  </si>
  <si>
    <t>Pocket Guide and Toolkit to DeJong's Neurologic Examination</t>
  </si>
  <si>
    <t>0-7817-6546-3</t>
  </si>
  <si>
    <t>01382471</t>
  </si>
  <si>
    <t>978-0-7817-7165-8</t>
  </si>
  <si>
    <t>978-1-4511-7324-6</t>
  </si>
  <si>
    <t>1-6054-7677-3</t>
  </si>
  <si>
    <t>978-1-6083-1630-4</t>
  </si>
  <si>
    <t>00140053</t>
  </si>
  <si>
    <t>01429612</t>
  </si>
  <si>
    <t>Thoracic Imaging: Pulmonary and Cardiovascular Radiology</t>
  </si>
  <si>
    <t>978-0-7817-6267-0</t>
  </si>
  <si>
    <t>01279741</t>
  </si>
  <si>
    <t>0-7817-6370-3</t>
  </si>
  <si>
    <t>ICU/CCU Facts Made Incredibly Quick!</t>
  </si>
  <si>
    <t>0-6833-0742-8</t>
  </si>
  <si>
    <t>02008467</t>
  </si>
  <si>
    <t>Plumer's Principles &amp; Practice of Intravenous Therapy</t>
  </si>
  <si>
    <t>978-0-7817-5731-7</t>
  </si>
  <si>
    <t>Baum's Textbook of Pulmonary Disease</t>
  </si>
  <si>
    <t>Pediatric Radiation Oncology</t>
  </si>
  <si>
    <t>00139878</t>
  </si>
  <si>
    <t>01382458</t>
  </si>
  <si>
    <t>978-1-5825-5371-9</t>
  </si>
  <si>
    <t>Diagnostic Neuropathology Smears</t>
  </si>
  <si>
    <t>978-0-7817-6841-2</t>
  </si>
  <si>
    <t>01382767</t>
  </si>
  <si>
    <t>1-6054-7053-8</t>
  </si>
  <si>
    <t>Atlas of EEG Patterns</t>
  </si>
  <si>
    <t>1-5825-5704-7</t>
  </si>
  <si>
    <t>Surgical Anatomy of the Face</t>
  </si>
  <si>
    <t>978-1-5825-5854-7</t>
  </si>
  <si>
    <t>Grossman's Cardiac Catheterization, Angiography, &amp; Intervention</t>
  </si>
  <si>
    <t>978-0-7817-7166-5</t>
  </si>
  <si>
    <t>01438535</t>
  </si>
  <si>
    <t>1-5825-5663-6</t>
  </si>
  <si>
    <t>0-7817-1041-3</t>
  </si>
  <si>
    <t>0-7817-9190-1</t>
  </si>
  <si>
    <t>01382537</t>
  </si>
  <si>
    <t>01382418</t>
  </si>
  <si>
    <t>978-0-7817-9696-5</t>
  </si>
  <si>
    <t>0-7817-6539-0</t>
  </si>
  <si>
    <t>01382635</t>
  </si>
  <si>
    <t>0-7817-7194-3</t>
  </si>
  <si>
    <t>01279746</t>
  </si>
  <si>
    <t>1-5825-5821-3</t>
  </si>
  <si>
    <t>0-6833-0751-7</t>
  </si>
  <si>
    <t>01382702</t>
  </si>
  <si>
    <t>01382442</t>
  </si>
  <si>
    <t>01435956</t>
  </si>
  <si>
    <t>01412536</t>
  </si>
  <si>
    <t>01273131</t>
  </si>
  <si>
    <t>978-1-4511-8245-3</t>
  </si>
  <si>
    <t>Preoperative Assessment and Management</t>
  </si>
  <si>
    <t>Handbook of Signs &amp; Symptoms</t>
  </si>
  <si>
    <t>00139970</t>
  </si>
  <si>
    <t>0-7817-1590-3</t>
  </si>
  <si>
    <t>978-0-7817-4307-5</t>
  </si>
  <si>
    <t>1-6083-1072-8</t>
  </si>
  <si>
    <t>0-7817-7315-6</t>
  </si>
  <si>
    <t>Greenfield's Surgery Scientific Principles and Practice</t>
  </si>
  <si>
    <t>01434793</t>
  </si>
  <si>
    <t>1-6054-7013-9</t>
  </si>
  <si>
    <t>00139942</t>
  </si>
  <si>
    <t>978-0-7817-7945-6</t>
  </si>
  <si>
    <t>1-6054-7471-1</t>
  </si>
  <si>
    <t>978-1-4511-4419-2</t>
  </si>
  <si>
    <t>Aunt Minnie's Atlas and Imaging-Specific Diagnosis</t>
  </si>
  <si>
    <t>978-0-7817-8043-8</t>
  </si>
  <si>
    <t>978-1-5825-5413-6</t>
  </si>
  <si>
    <t>978-1-5825-5237-8</t>
  </si>
  <si>
    <t>978-0-7817-6057-7</t>
  </si>
  <si>
    <t>01434670</t>
  </si>
  <si>
    <t>Ten Years of Images from Circulation: Journal of the American Heart Association</t>
  </si>
  <si>
    <t>978-0-7817-8899-1</t>
  </si>
  <si>
    <t>Forensic Emergency Medicine</t>
  </si>
  <si>
    <t>AHA Clinical Cardiac Consult, The</t>
  </si>
  <si>
    <t>01439399</t>
  </si>
  <si>
    <t>Field Guide to the Neurologic Examination</t>
  </si>
  <si>
    <t>978-0-7817-4596-3</t>
  </si>
  <si>
    <t>978-1-6083-1339-6</t>
  </si>
  <si>
    <t>Psychiatric Medicine: The Psychiatrist's Guide to the Treatment of Common Medical Illnesses</t>
  </si>
  <si>
    <t>MDCT Physics: The BasicsTechnology, Image Quality and Radiation Dose</t>
  </si>
  <si>
    <t>0-7817-4077-0</t>
  </si>
  <si>
    <t>Handbook of Medical-Surgical Nursing</t>
  </si>
  <si>
    <t>01436596</t>
  </si>
  <si>
    <t>978-0-7817-4727-1</t>
  </si>
  <si>
    <t>978-1-6083-1081-4</t>
  </si>
  <si>
    <t>0-7817-1817-1</t>
  </si>
  <si>
    <t>Heptinstall's Pathology of the Kidney</t>
  </si>
  <si>
    <t>Principles and Practice of Geriatric Psychiatry</t>
  </si>
  <si>
    <t>Straight A's in Pediatric Nursing</t>
  </si>
  <si>
    <t>Fundamentals of Diagnostic Radiology</t>
  </si>
  <si>
    <t>01337255</t>
  </si>
  <si>
    <t>2nd_Edition</t>
  </si>
  <si>
    <t>978-0-7817-6950-1</t>
  </si>
  <si>
    <t>978-0-7817-9891-4</t>
  </si>
  <si>
    <t>0-7817-9914-7</t>
  </si>
  <si>
    <t>Orthopedic Surgery: Principles of Diagnosis and Treatment</t>
  </si>
  <si>
    <t>Nonfusion Technologies in Spine Surgery</t>
  </si>
  <si>
    <t>TOGY-PB-E10</t>
  </si>
  <si>
    <t>978-0-7817-9639-2</t>
  </si>
  <si>
    <t>Peripheral Vascular Interventions</t>
  </si>
  <si>
    <t>Hypomania Handbook ,The: The Challenge of Elevated Mood</t>
  </si>
  <si>
    <t>01382755</t>
  </si>
  <si>
    <t>978-0-7817-6945-7</t>
  </si>
  <si>
    <t>OVIDMD,OVIDSP</t>
  </si>
  <si>
    <t>5-Minute Clinical Consult 2012, The</t>
  </si>
  <si>
    <t>978-0-7817-5191-9</t>
  </si>
  <si>
    <t>Physical Therapy Prescriptions for Musculoskeletal Disorders</t>
  </si>
  <si>
    <t>1-6054-7600-5</t>
  </si>
  <si>
    <t>Dystonia 4: Advances in Neurology</t>
  </si>
  <si>
    <t>978-0-7817-9143-4</t>
  </si>
  <si>
    <t>1-6054-7264-6</t>
  </si>
  <si>
    <t>0-7817-9512-5</t>
  </si>
  <si>
    <t>978-0-7817-3545-2</t>
  </si>
  <si>
    <t>01437548</t>
  </si>
  <si>
    <t>01382689</t>
  </si>
  <si>
    <t>978-0-7817-9287-5</t>
  </si>
  <si>
    <t>1-5825-5864-7</t>
  </si>
  <si>
    <t>978-0-7817-8400-9</t>
  </si>
  <si>
    <t>01745920</t>
  </si>
  <si>
    <t>1-6054-7666-8</t>
  </si>
  <si>
    <t>Heart Sounds Made Incredibly Easy!</t>
  </si>
  <si>
    <t>Nursing I.V. Drug Handbook</t>
  </si>
  <si>
    <t>01436956</t>
  </si>
  <si>
    <t>Hospital for Special Surgery Manual of Rheumatology and Outpatient Orthopedic Disorders: Diagnosis and Therapy</t>
  </si>
  <si>
    <t>1-6054-7682-X</t>
  </si>
  <si>
    <t>978-0-7817-3727-2</t>
  </si>
  <si>
    <t>01382515</t>
  </si>
  <si>
    <t>978-0-7817-4631-1</t>
  </si>
  <si>
    <t>978-0-7817-6815-3</t>
  </si>
  <si>
    <t>0-7817-9287-8</t>
  </si>
  <si>
    <t>978-0-7817-8658-4</t>
  </si>
  <si>
    <t>01382582</t>
  </si>
  <si>
    <t>978-0-7817-5427-9</t>
  </si>
  <si>
    <t>00139983</t>
  </si>
  <si>
    <t>01382688</t>
  </si>
  <si>
    <t>0-7817-5729-0</t>
  </si>
  <si>
    <t>Treatment Planning in Radiation Oncology</t>
  </si>
  <si>
    <t>978-1-4963-3996-6</t>
  </si>
  <si>
    <t>01382796</t>
  </si>
  <si>
    <t>01382517</t>
  </si>
  <si>
    <t>01257027</t>
  </si>
  <si>
    <t>978-0-7817-2980-2</t>
  </si>
  <si>
    <t>01745974</t>
  </si>
  <si>
    <t>Handbook of Nephrology</t>
  </si>
  <si>
    <t>978-0-6833-0674-3</t>
  </si>
  <si>
    <t>01337652</t>
  </si>
  <si>
    <t>Samter's Immunologic Diseases</t>
  </si>
  <si>
    <t>01382747</t>
  </si>
  <si>
    <t>978-0-7817-4252-8</t>
  </si>
  <si>
    <t>0-7817-3474-6</t>
  </si>
  <si>
    <t>0-7817-7910-3</t>
  </si>
  <si>
    <t>0-7817-9506-0</t>
  </si>
  <si>
    <t>01436854</t>
  </si>
  <si>
    <t>Nursing Know-How: Evaluating Signs &amp; Symptoms</t>
  </si>
  <si>
    <t>00139885</t>
  </si>
  <si>
    <t>978-1-6054-7237-9</t>
  </si>
  <si>
    <t>0-7817-4149-1</t>
  </si>
  <si>
    <t>01337538</t>
  </si>
  <si>
    <t>0-7817-3536-X</t>
  </si>
  <si>
    <t>0-7817-4871-2</t>
  </si>
  <si>
    <t>978-0-7817-2120-2</t>
  </si>
  <si>
    <t>978-0-7817-7013-2</t>
  </si>
  <si>
    <t>01382505</t>
  </si>
  <si>
    <t>Disease &amp; Drug Consult: Cardiovascular Disorders</t>
  </si>
  <si>
    <t>1-6054-7714-1</t>
  </si>
  <si>
    <t>0-7817-6422-X</t>
  </si>
  <si>
    <t>978-1-4511-0260-4</t>
  </si>
  <si>
    <t>978-1-4511-2769-0</t>
  </si>
  <si>
    <t>978-1-6054-7665-0</t>
  </si>
  <si>
    <t>978-0-7817-4871-1</t>
  </si>
  <si>
    <t>978-0-7817-7486-4</t>
  </si>
  <si>
    <t>0-7817-4768-6</t>
  </si>
  <si>
    <t>01807323</t>
  </si>
  <si>
    <t>978-0-7817-9379-7</t>
  </si>
  <si>
    <t>978-1-4963-7465-3</t>
  </si>
  <si>
    <t>Manual of Clinical Problems in Pulmonary Medicine</t>
  </si>
  <si>
    <t>01437570</t>
  </si>
  <si>
    <t>Washington Manual of Critical Care, The</t>
  </si>
  <si>
    <t>01436877</t>
  </si>
  <si>
    <t>Eye Pathology: An Atlas and Text</t>
  </si>
  <si>
    <t>01429613</t>
  </si>
  <si>
    <t>01382878</t>
  </si>
  <si>
    <t>1-6091-3336-6</t>
  </si>
  <si>
    <t>0-7817-5585-9</t>
  </si>
  <si>
    <t>978-0-7817-5753-9</t>
  </si>
  <si>
    <t>Human Heart, The: A Basic Guide to Heart Disease</t>
  </si>
  <si>
    <t>Avoiding Common Errors in the Emergency Department</t>
  </si>
  <si>
    <t>978-1-6054-7666-7</t>
  </si>
  <si>
    <t>1-6054-7431-2</t>
  </si>
  <si>
    <t>978-0-7817-1694-9</t>
  </si>
  <si>
    <t>978-0-7817-5460-6</t>
  </si>
  <si>
    <t>0-7817-3899-7</t>
  </si>
  <si>
    <t>978-0-3975-5007-4</t>
  </si>
  <si>
    <t>0-7817-4186-6</t>
  </si>
  <si>
    <t>978-1-4511-7268-3</t>
  </si>
  <si>
    <t>Concise Cardiology: An Evidence-Based Handbook</t>
  </si>
  <si>
    <t>0-7817-1512-1</t>
  </si>
  <si>
    <t>Best of Incredibly Easy!</t>
  </si>
  <si>
    <t>978-0-7817-6299-1</t>
  </si>
  <si>
    <t>Massachusetts General Hospital Handbook of Pain Management</t>
  </si>
  <si>
    <t>01382695</t>
  </si>
  <si>
    <t>978-0-7817-6208-3</t>
  </si>
  <si>
    <t>0-7817-5358-9</t>
  </si>
  <si>
    <t>01438891</t>
  </si>
  <si>
    <t>MRI and CT of the Cardiovascular System</t>
  </si>
  <si>
    <t>0-7817-4043-6</t>
  </si>
  <si>
    <t>1-5825-5417-X</t>
  </si>
  <si>
    <t>Nursing: Perfecting Clinical Procedures</t>
  </si>
  <si>
    <t>Sports Injuries: Mechanisms, Prevention, Treatment</t>
  </si>
  <si>
    <t>Core Curriculum, The: Ultrasound</t>
  </si>
  <si>
    <t>01439404</t>
  </si>
  <si>
    <t>Biopsy Interpretation of the Bladder</t>
  </si>
  <si>
    <t>1-5825-5703-9</t>
  </si>
  <si>
    <t>Professional Guide to Pathophysiology</t>
  </si>
  <si>
    <t>978-1-4511-9102-8</t>
  </si>
  <si>
    <t>1-5825-5371-8</t>
  </si>
  <si>
    <t>Handbook of Nutrition and the Kidney</t>
  </si>
  <si>
    <t>978-0-7817-5812-3</t>
  </si>
  <si>
    <t>Wills Eye Manual, The: Office and Emergency Room Diagnosis and Treatment of Eye Disease</t>
  </si>
  <si>
    <t>Pediatric Spine, The: Principles and Practice</t>
  </si>
  <si>
    <t>Kaplan &amp; Sadock's Pocket Handbook of Psychiatric Drug Treatment</t>
  </si>
  <si>
    <t>Manual of Emergency Airway Management</t>
  </si>
  <si>
    <t>11th_Edition</t>
  </si>
  <si>
    <t>1-6083-1276-3</t>
  </si>
  <si>
    <t>978-0-7817-8576-1</t>
  </si>
  <si>
    <t>Neonatal and Pediatric Pharmacology: Therapeutic Principles in Practice</t>
  </si>
  <si>
    <t>00139984</t>
  </si>
  <si>
    <t>0-7817-7945-6</t>
  </si>
  <si>
    <t>Nutrition Made Incredibly Easy!</t>
  </si>
  <si>
    <t>978-0-7817-6046-1</t>
  </si>
  <si>
    <t>1-6083-1043-4</t>
  </si>
  <si>
    <t>LEVER'S Histopathology of the Skin</t>
  </si>
  <si>
    <t>0-7817-6197-2</t>
  </si>
  <si>
    <t>0-7817-9042-5</t>
  </si>
  <si>
    <t>1-6083-1172-4</t>
  </si>
  <si>
    <t>0-7817-8208-2</t>
  </si>
  <si>
    <t>01429603</t>
  </si>
  <si>
    <t>Clinical Guide to Pediatric Infectious Disease, A</t>
  </si>
  <si>
    <t>01382768</t>
  </si>
  <si>
    <t>978-0-7817-6886-3</t>
  </si>
  <si>
    <t>0-7817-7294-X</t>
  </si>
  <si>
    <t>978-0-7817-8163-3</t>
  </si>
  <si>
    <t>01382496</t>
  </si>
  <si>
    <t>978-1-5825-5347-4</t>
  </si>
  <si>
    <t>01626594</t>
  </si>
  <si>
    <t>00139936</t>
  </si>
  <si>
    <t>0-7817-2893-2</t>
  </si>
  <si>
    <t>978-0-7817-5821-5</t>
  </si>
  <si>
    <t>Biopsy Interpretation of the Gastrointestinal Tract Mucosa, Volume 1: Non-Neoplastic</t>
  </si>
  <si>
    <t>0-7817-9425-0</t>
  </si>
  <si>
    <t>01273055</t>
  </si>
  <si>
    <t>01279733</t>
  </si>
  <si>
    <t>01222998</t>
  </si>
  <si>
    <t>1-5825-5987-2</t>
  </si>
  <si>
    <t>1-6054-7460-6</t>
  </si>
  <si>
    <t>01337294</t>
  </si>
  <si>
    <t>978-1-4511-0916-0</t>
  </si>
  <si>
    <t>0-7817-4294-3</t>
  </si>
  <si>
    <t>0-7817-9194-4</t>
  </si>
  <si>
    <t>MRI of the Shoulder</t>
  </si>
  <si>
    <t>978-0-7817-6196-3</t>
  </si>
  <si>
    <t>00139997</t>
  </si>
  <si>
    <t>978-0-7817-6868-9</t>
  </si>
  <si>
    <t>01439411</t>
  </si>
  <si>
    <t>Mastering Endovascular Techniques: A Guide to Excellence</t>
  </si>
  <si>
    <t>01273322</t>
  </si>
  <si>
    <t>Diabetic Foot Lower Extremity Arterial Disease and Limb Salvage</t>
  </si>
  <si>
    <t>978-0-7817-7466-6</t>
  </si>
  <si>
    <t>0-7817-9533-8</t>
  </si>
  <si>
    <t>1-6083-1719-6</t>
  </si>
  <si>
    <t>978-0-7817-5262-6</t>
  </si>
  <si>
    <t>0-7817-7747-X</t>
  </si>
  <si>
    <t>01745969</t>
  </si>
  <si>
    <t>978-1-6054-7861-6</t>
  </si>
  <si>
    <t>Wills Eye Manual: Office and Emergency Room Diagnosis &amp; Treatment of Eye Disease</t>
  </si>
  <si>
    <t>978-0-7817-7968-5</t>
  </si>
  <si>
    <t>01382835</t>
  </si>
  <si>
    <t>978-1-4511-1436-2</t>
  </si>
  <si>
    <t>Anatomy &amp; Physiology Made Incredibly Easy!</t>
  </si>
  <si>
    <t>0-7817-8845-5</t>
  </si>
  <si>
    <t>01337293</t>
  </si>
  <si>
    <t>978-1-6083-1893-3</t>
  </si>
  <si>
    <t>Greenman's Principles of Manual Medicine</t>
  </si>
  <si>
    <t>Nurses' Guide to Clinical Procedures</t>
  </si>
  <si>
    <t>01437504</t>
  </si>
  <si>
    <t>1-6054-7051-1</t>
  </si>
  <si>
    <t>01223026</t>
  </si>
  <si>
    <t>978-1-4511-0545-2</t>
  </si>
  <si>
    <t>01429610</t>
  </si>
  <si>
    <t>978-0-7817-7214-3</t>
  </si>
  <si>
    <t>01337653</t>
  </si>
  <si>
    <t>978-1-6054-7228-7</t>
  </si>
  <si>
    <t>0-7817-5093-8</t>
  </si>
  <si>
    <t>01382444</t>
  </si>
  <si>
    <t>978-1-5825-5445-7</t>
  </si>
  <si>
    <t>Hysteroscopy: Visual Perspectives of Uterine Anatomy, Physiology &amp; Pathology</t>
  </si>
  <si>
    <t>978-0-7817-8886-1</t>
  </si>
  <si>
    <t>00139912</t>
  </si>
  <si>
    <t>Winston &amp; Kuhn's Herbal Therapy and Supplements: A Scientific and Traditional Approach</t>
  </si>
  <si>
    <t>0-7817-9178-2</t>
  </si>
  <si>
    <t>01276485</t>
  </si>
  <si>
    <t>1-6083-1078-7</t>
  </si>
  <si>
    <t>978-1-5825-5272-9</t>
  </si>
  <si>
    <t>5-Minute Clinical Consult 2009, The</t>
  </si>
  <si>
    <t>1-6091-3347-1</t>
  </si>
  <si>
    <t>Psychiatric-Mental Health Nursing</t>
  </si>
  <si>
    <t>978-0-7817-8458-0</t>
  </si>
  <si>
    <t>01279725</t>
  </si>
  <si>
    <t>00140010</t>
  </si>
  <si>
    <t>978-1-6091-3281-1</t>
  </si>
  <si>
    <t>Greenberg's Text-Atlas of Emergency Medicine</t>
  </si>
  <si>
    <t>01437547</t>
  </si>
  <si>
    <t>PRGO-PB-E06</t>
  </si>
  <si>
    <t>Essentials of Otolaryngology</t>
  </si>
  <si>
    <t>978-0-7817-5794-2</t>
  </si>
  <si>
    <t>1-5825-5626-1</t>
  </si>
  <si>
    <t>0-7817-7583-3</t>
  </si>
  <si>
    <t>Bratton's Family Medicine Board Review</t>
  </si>
  <si>
    <t>978-1-4511-1897-1</t>
  </si>
  <si>
    <t>978-0-7817-9274-5</t>
  </si>
  <si>
    <t>01735162</t>
  </si>
  <si>
    <t>Wintrobe's Atlas of Clinical Hematology</t>
  </si>
  <si>
    <t>0-7817-7379-2</t>
  </si>
  <si>
    <t>01648000</t>
  </si>
  <si>
    <t>01412512</t>
  </si>
  <si>
    <t>978-0-7817-6045-4</t>
  </si>
  <si>
    <t>978-0-7817-6604-3</t>
  </si>
  <si>
    <t>978-1-5825-5978-0</t>
  </si>
  <si>
    <t>5-Minute Pediatric Consult</t>
  </si>
  <si>
    <t>978-0-7817-4657-1</t>
  </si>
  <si>
    <t>978-1-4511-7343-7</t>
  </si>
  <si>
    <t>01222990</t>
  </si>
  <si>
    <t>01436870</t>
  </si>
  <si>
    <t>0-7817-5460-7</t>
  </si>
  <si>
    <t>0-7817-8940-0</t>
  </si>
  <si>
    <t>Practical Approach to Pediatric Anesthesia, A</t>
  </si>
  <si>
    <t>01382840</t>
  </si>
  <si>
    <t>978-0-7817-4614-4</t>
  </si>
  <si>
    <t>01382698</t>
  </si>
  <si>
    <t>978-0-7817-7502-1</t>
  </si>
  <si>
    <t>1-4511-9394-7</t>
  </si>
  <si>
    <t>978-0-7817-5503-0</t>
  </si>
  <si>
    <t>978-0-7817-3622-0</t>
  </si>
  <si>
    <t>1-4511-0264-X</t>
  </si>
  <si>
    <t>01437886</t>
  </si>
  <si>
    <t>Surgery of the Breast: Principles and Art</t>
  </si>
  <si>
    <t>01626623</t>
  </si>
  <si>
    <t>Lippincott's Primary Care: Orthopaedics</t>
  </si>
  <si>
    <t>Practical Approach to Cardiac Anesthesia, A</t>
  </si>
  <si>
    <t>1-6054-7233-6</t>
  </si>
  <si>
    <t>01412538</t>
  </si>
  <si>
    <t>Nursing: Understanding Diseases</t>
  </si>
  <si>
    <t>978-0-7817-8403-0</t>
  </si>
  <si>
    <t>Anatomy &amp; Physiology: An Incredibly Easy! Workout</t>
  </si>
  <si>
    <t>978-0-7817-8208-1</t>
  </si>
  <si>
    <t>01382569</t>
  </si>
  <si>
    <t>Koss' Diagnostic Cytology and Its Histopathologic Bases</t>
  </si>
  <si>
    <t>0-7817-4493-8</t>
  </si>
  <si>
    <t>01437508</t>
  </si>
  <si>
    <t>0-7817-4999-9</t>
  </si>
  <si>
    <t>01382814</t>
  </si>
  <si>
    <t>0-7817-7365-2</t>
  </si>
  <si>
    <t>0-7817-4853-4</t>
  </si>
  <si>
    <t>01337534</t>
  </si>
  <si>
    <t>1-6054-7776-1</t>
  </si>
  <si>
    <t>0-7817-6106-9</t>
  </si>
  <si>
    <t>0-7817-9099-9</t>
  </si>
  <si>
    <t>978-0-7817-6827-6</t>
  </si>
  <si>
    <t>0-7817-1788-4</t>
  </si>
  <si>
    <t>Washington Manual® Pulmonary Medicine Subspecialty Consult, The</t>
  </si>
  <si>
    <t>Handbook of Gastroenterology</t>
  </si>
  <si>
    <t>Manual of Obstetrics</t>
  </si>
  <si>
    <t>978-0-7817-4892-6</t>
  </si>
  <si>
    <t>01257044</t>
  </si>
  <si>
    <t>1-6054-7011-2</t>
  </si>
  <si>
    <t>Internal Medicine Casebook, The: Real Patients, Real Answers</t>
  </si>
  <si>
    <t>Nursing 2008 Drug Handbook</t>
  </si>
  <si>
    <t>Practical Management of the Dizzy Patient</t>
  </si>
  <si>
    <t>978-1-6054-7159-4</t>
  </si>
  <si>
    <t>01437503</t>
  </si>
  <si>
    <t>01412540</t>
  </si>
  <si>
    <t>Lippincott Williams &amp; Wilkins - a Wolters Kluwer business (Copyright 2007 by Mayo Foundation for Medical Education and Research)</t>
  </si>
  <si>
    <t>0-7817-2890-8</t>
  </si>
  <si>
    <t>0-7817-4692-2</t>
  </si>
  <si>
    <t>978-0-7817-5980-9</t>
  </si>
  <si>
    <t>0-7817-9836-1</t>
  </si>
  <si>
    <t>01382757</t>
  </si>
  <si>
    <t>Epilepsy: A Comprehensive Textbook</t>
  </si>
  <si>
    <t>01337303</t>
  </si>
  <si>
    <t>978-1-6091-3347-4</t>
  </si>
  <si>
    <t>978-1-5825-5698-7</t>
  </si>
  <si>
    <t>Clinical Use of Pediatric Diagnostic Tests</t>
  </si>
  <si>
    <t>Handbook of Patient Care in Vascular Diseases</t>
  </si>
  <si>
    <t>01437583</t>
  </si>
  <si>
    <t>1-5825-5539-7</t>
  </si>
  <si>
    <t>1-6054-7546-7</t>
  </si>
  <si>
    <t>01257024</t>
  </si>
  <si>
    <t>1-4511-0916-4</t>
  </si>
  <si>
    <t>1-5825-5683-0</t>
  </si>
  <si>
    <t>1-4511-7736-4</t>
  </si>
  <si>
    <t>5-Minute Clinical Consult Standard 2016, The</t>
  </si>
  <si>
    <t>Diseases of the Breast</t>
  </si>
  <si>
    <t>0-7817-5146-2</t>
  </si>
  <si>
    <t>978-1-6054-7766-4</t>
  </si>
  <si>
    <t>1-5825-5541-9</t>
  </si>
  <si>
    <t>01257025</t>
  </si>
  <si>
    <t>978-0-7817-7583-0</t>
  </si>
  <si>
    <t>01256967</t>
  </si>
  <si>
    <t>01569254</t>
  </si>
  <si>
    <t>978-0-7817-4088-3</t>
  </si>
  <si>
    <t>1-4511-8612-6</t>
  </si>
  <si>
    <t>1-6054-7228-X</t>
  </si>
  <si>
    <t>01382438</t>
  </si>
  <si>
    <t>978-1-5825-5907-0</t>
  </si>
  <si>
    <t>0-7817-6739-3</t>
  </si>
  <si>
    <t>01437505</t>
  </si>
  <si>
    <t>Nursing 2007 Dangerous Drug Interactions</t>
  </si>
  <si>
    <t>978-1-6083-1256-6</t>
  </si>
  <si>
    <t>01382469</t>
  </si>
  <si>
    <t>Critical Care Nursing in a Flash</t>
  </si>
  <si>
    <t>1-5825-5930-9</t>
  </si>
  <si>
    <t>0-7817-9020-4</t>
  </si>
  <si>
    <t>Merritt's Neurology Handbook</t>
  </si>
  <si>
    <t>978-0-7817-7329-4</t>
  </si>
  <si>
    <t>978-0-7817-1750-2</t>
  </si>
  <si>
    <t>978-0-7817-2006-9</t>
  </si>
  <si>
    <t>1-5825-5978-3</t>
  </si>
  <si>
    <t>978-0-7817-5279-4</t>
  </si>
  <si>
    <t>Delisa's Physical Medicine &amp; Rehabilitation: Principles And Practice</t>
  </si>
  <si>
    <t>Biopsy Interpretation of the Breast</t>
  </si>
  <si>
    <t>01382524</t>
  </si>
  <si>
    <t>01337562</t>
  </si>
  <si>
    <t>01382711</t>
  </si>
  <si>
    <t>0-7817-3352-9</t>
  </si>
  <si>
    <t>Book Title</t>
  </si>
  <si>
    <t>978-0-7817-5791-1</t>
  </si>
  <si>
    <t>1-5825-5509-5</t>
  </si>
  <si>
    <t>Medical Management of Kidney Transplantation</t>
  </si>
  <si>
    <t>Yale Guide to Ophthalmic Surgery, The</t>
  </si>
  <si>
    <t>0-7817-7502-7</t>
  </si>
  <si>
    <t>0-7817-3524-6</t>
  </si>
  <si>
    <t>01626601</t>
  </si>
  <si>
    <t>01279695</t>
  </si>
  <si>
    <t>0-7817-7912-X</t>
  </si>
  <si>
    <t>01436868</t>
  </si>
  <si>
    <t>978-1-6091-3621-5</t>
  </si>
  <si>
    <t>0-7817-3655-2</t>
  </si>
  <si>
    <t>01382797</t>
  </si>
  <si>
    <t>0-7817-3198-4</t>
  </si>
  <si>
    <t>0-7817-7332-6</t>
  </si>
  <si>
    <t>0-7817-8576-6</t>
  </si>
  <si>
    <t>01434428</t>
  </si>
  <si>
    <t>Primary Care Medicine: Office Evaluation and Management of the Adult Patient</t>
  </si>
  <si>
    <t>Essential Emergency Imaging</t>
  </si>
  <si>
    <t>0-7817-5765-7</t>
  </si>
  <si>
    <t>1-6083-1894-X</t>
  </si>
  <si>
    <t>Washington Manual of Pediatrics, The</t>
  </si>
  <si>
    <t>978-0-7817-6245-8</t>
  </si>
  <si>
    <t>1-4511-9294-0</t>
  </si>
  <si>
    <t>Environmental and Occupational Medicine</t>
  </si>
  <si>
    <t>0-7817-6343-6</t>
  </si>
  <si>
    <t>978-1-6083-1778-3</t>
  </si>
  <si>
    <t>978-0-7817-8500-6</t>
  </si>
  <si>
    <t>00140018</t>
  </si>
  <si>
    <t>978-1-6054-7644-5</t>
  </si>
  <si>
    <t>Atlas of Mammography</t>
  </si>
  <si>
    <t>01382765</t>
  </si>
  <si>
    <t>Reichel's Care of the Elderly: Clinical Aspects of Aging</t>
  </si>
  <si>
    <t>Telephone Triage Protocols for Nurses</t>
  </si>
  <si>
    <t>Atlas and Synopsis of Lever's Histopathology of the Skin</t>
  </si>
  <si>
    <t>978-0-7817-6473-5</t>
  </si>
  <si>
    <t>978-0-7817-2646-7</t>
  </si>
  <si>
    <t>01382727</t>
  </si>
  <si>
    <t>01382439</t>
  </si>
  <si>
    <t>0-7817-5162-4</t>
  </si>
  <si>
    <t>978-0-7817-7363-8</t>
  </si>
  <si>
    <t>Women's Mental Health: A Life-Cycle Approach</t>
  </si>
  <si>
    <t>978-0-7817-9284-4</t>
  </si>
  <si>
    <t>End-of-Life Care: A Nurse's Guide to Compassionate Care</t>
  </si>
  <si>
    <t>978-1-5825-5581-2</t>
  </si>
  <si>
    <t>01412560</t>
  </si>
  <si>
    <t>1-5825-5354-8</t>
  </si>
  <si>
    <t>978-0-7817-3524-7</t>
  </si>
  <si>
    <t>Disease &amp; Drug Consult: Psychiatric Disorders</t>
  </si>
  <si>
    <t>0-7817-7182-X</t>
  </si>
  <si>
    <t>Urology</t>
  </si>
  <si>
    <t>01641738</t>
  </si>
  <si>
    <t>0-7817-6529-3</t>
  </si>
  <si>
    <t>978-1-4511-1175-0</t>
  </si>
  <si>
    <t>01382834</t>
  </si>
  <si>
    <t>Clinical Calculations Made Easy: Solving Problems Using Dimensional Analysis</t>
  </si>
  <si>
    <t>01626530</t>
  </si>
  <si>
    <t>1-6054-7355-3</t>
  </si>
  <si>
    <t>01382682</t>
  </si>
  <si>
    <t>Manual of Overdoses and Poisonings</t>
  </si>
  <si>
    <t>978-0-7817-8911-0</t>
  </si>
  <si>
    <t>Only EKG Book You'll Ever Need, The</t>
  </si>
  <si>
    <t>0-7817-2646-8</t>
  </si>
  <si>
    <t>0-7817-2644-1</t>
  </si>
  <si>
    <t>978-0-7817-3867-5</t>
  </si>
  <si>
    <t>00139990</t>
  </si>
  <si>
    <t>Avoiding Common Surgical Errors</t>
  </si>
  <si>
    <t>978-0-7817-5754-6</t>
  </si>
  <si>
    <t>01438881</t>
  </si>
  <si>
    <t>0-7817-4524-1</t>
  </si>
  <si>
    <t>978-0-7817-7143-6</t>
  </si>
  <si>
    <t>978-0-7817-9141-0</t>
  </si>
  <si>
    <t>Nurse's 3-Minute Clinical Reference</t>
  </si>
  <si>
    <t>01279730</t>
  </si>
  <si>
    <t>01382431</t>
  </si>
  <si>
    <t>Handbook of Pediatric Urology</t>
  </si>
  <si>
    <t>978-0-7817-2470-8</t>
  </si>
  <si>
    <t>978-1-5825-5684-0</t>
  </si>
  <si>
    <t>978-0-7817-8955-4</t>
  </si>
  <si>
    <t>Practical Neuroangiography</t>
  </si>
  <si>
    <t>978-1-5825-5818-9</t>
  </si>
  <si>
    <t>978-0-7817-6942-6</t>
  </si>
  <si>
    <t>0-7817-7968-5</t>
  </si>
  <si>
    <t>1-4511-0955-5</t>
  </si>
  <si>
    <t>978-0-7817-4327-3</t>
  </si>
  <si>
    <t>1-6083-1249-6</t>
  </si>
  <si>
    <t>Trauma Handbook of the Massachusetts General Hospital, The</t>
  </si>
  <si>
    <t>01437521</t>
  </si>
  <si>
    <t>1-6054-7252-2</t>
  </si>
  <si>
    <t>01429594</t>
  </si>
  <si>
    <t>Adolescent Health Care: A Practical Guide</t>
  </si>
  <si>
    <t>01279766</t>
  </si>
  <si>
    <t>978-0-6833-0273-8</t>
  </si>
  <si>
    <t>Concise Neurology</t>
  </si>
  <si>
    <t>0-7817-8762-9</t>
  </si>
  <si>
    <t>Medical Terminology Made Incredibly Easy!</t>
  </si>
  <si>
    <t>Principles of Addiction Medicine: The Essentials</t>
  </si>
  <si>
    <t>01256966</t>
  </si>
  <si>
    <t>0-7817-4685-X</t>
  </si>
  <si>
    <t>01382861</t>
  </si>
  <si>
    <t>0-7817-7674-0</t>
  </si>
  <si>
    <t>Practical Guide to Palliative Care, A</t>
  </si>
  <si>
    <t>0-7817-4671-X</t>
  </si>
  <si>
    <t>01412557</t>
  </si>
  <si>
    <t>978-0-7817-2698-6</t>
  </si>
  <si>
    <t>Neurology (HO)</t>
  </si>
  <si>
    <t>Arthritis &amp; Allied Conditions</t>
  </si>
  <si>
    <t>Cleveland Clinic Foundation Intensive Review of Internal Medicine, The</t>
  </si>
  <si>
    <t>Neurology Self-Assessment: Focus on Neuroimaging</t>
  </si>
  <si>
    <t>978-0-7817-4206-1</t>
  </si>
  <si>
    <t>01382801</t>
  </si>
  <si>
    <t>0-7817-5180-2</t>
  </si>
  <si>
    <t>01626612</t>
  </si>
  <si>
    <t>2000_Edition</t>
  </si>
  <si>
    <t>Dosage Calculations: An Incredibly Easy! Pocket Guide</t>
  </si>
  <si>
    <t>01337671</t>
  </si>
  <si>
    <t>978-0-7817-8135-0</t>
  </si>
  <si>
    <t>1-5825-5973-2</t>
  </si>
  <si>
    <t>LPN Expert Guides: Advanced Skills</t>
  </si>
  <si>
    <t>Lippincott Manual of Nursing Practice Pocket Guide: Maternal-Neonatal Nursing</t>
  </si>
  <si>
    <t>978-0-7817-2943-7</t>
  </si>
  <si>
    <t>01735129</t>
  </si>
  <si>
    <t>Guide to Neuropsychiatric Therapeutics</t>
  </si>
  <si>
    <t>1-4511-1825-2</t>
  </si>
  <si>
    <t>1-5825-5999-6</t>
  </si>
  <si>
    <t>Histology for Pathologists</t>
  </si>
  <si>
    <t>Nursing Pharmacology Made Incredibly Easy!</t>
  </si>
  <si>
    <t>01412544</t>
  </si>
  <si>
    <t>1-6083-1378-6</t>
  </si>
  <si>
    <t>01745912</t>
  </si>
  <si>
    <t>Manual of Musculoskeletal Medicine</t>
  </si>
  <si>
    <t>978-0-7817-6374-5</t>
  </si>
  <si>
    <t>0-7817-3265-4</t>
  </si>
  <si>
    <t>0-7817-8403-4</t>
  </si>
  <si>
    <t>Duane's Ophthalmology</t>
  </si>
  <si>
    <t>Rapid Response to Everyday Emergencies: A Nurse's Guide</t>
  </si>
  <si>
    <t>978-1-5825-5849-3</t>
  </si>
  <si>
    <t>Trauma Manual, The: Trauma and Acute Care Surgery</t>
  </si>
  <si>
    <t>1-4511-8850-1</t>
  </si>
  <si>
    <t>01434775</t>
  </si>
  <si>
    <t>0-7817-2321-3</t>
  </si>
  <si>
    <t>0-7817-7949-9</t>
  </si>
  <si>
    <t>1-4511-4266-8</t>
  </si>
  <si>
    <t>Field Guide to the Normal Newborn</t>
  </si>
  <si>
    <t>38th_Edition</t>
  </si>
  <si>
    <t>01382886</t>
  </si>
  <si>
    <t>01382745</t>
  </si>
  <si>
    <t>1-6054-7662-5</t>
  </si>
  <si>
    <t>1-5825-5288-6</t>
  </si>
  <si>
    <t>01279708</t>
  </si>
  <si>
    <t>01626590</t>
  </si>
  <si>
    <t>Clinical Anesthesia</t>
  </si>
  <si>
    <t>00139920</t>
  </si>
  <si>
    <t>Practical Guide to Abdominal &amp; Pelvic MRI</t>
  </si>
  <si>
    <t>01382474</t>
  </si>
  <si>
    <t>01382588</t>
  </si>
  <si>
    <t>978-0-7817-6988-4</t>
  </si>
  <si>
    <t>33rd_Edition</t>
  </si>
  <si>
    <t>Urologic Pathology</t>
  </si>
  <si>
    <t>978-0-7817-3213-0</t>
  </si>
  <si>
    <t>978-0-3975-1727-5</t>
  </si>
  <si>
    <t>Master Techniques in Colon and Rectal Surgery: Abdominal Operations</t>
  </si>
  <si>
    <t>Nuclear Medicine Imaging: A Teaching File</t>
  </si>
  <si>
    <t>978-0-7817-5186-5</t>
  </si>
  <si>
    <t>0-7817-7328-8</t>
  </si>
  <si>
    <t>01382573</t>
  </si>
  <si>
    <t>Product Name</t>
  </si>
  <si>
    <t>Washington Manual of Outpatient Internal Medicine, The</t>
  </si>
  <si>
    <t>1-6083-1904-0</t>
  </si>
  <si>
    <t>978-0-7817-5768-3</t>
  </si>
  <si>
    <t>Lippincott Manual of Nursing Practice Series: Diagnostic Tests</t>
  </si>
  <si>
    <t>Lippincott WIlliams &amp; Wilkins - a Wolters Kluwer business (Copyright 2006 Mayo Foundation for Medical Education and Research)</t>
  </si>
  <si>
    <t>978-0-7817-9912-6</t>
  </si>
  <si>
    <t>Biopsy Interpretation of the Gastrointestinal Tract Mucosa</t>
  </si>
  <si>
    <t>978-1-4511-0959-7</t>
  </si>
  <si>
    <t>01276470</t>
  </si>
  <si>
    <t>Master Techniques in Orthopaedic Surgery: The Hip</t>
  </si>
  <si>
    <t>1-6091-3338-2</t>
  </si>
  <si>
    <t>978-0-7817-7327-0</t>
  </si>
  <si>
    <t>Manual of Psychiatric Therapeutics</t>
  </si>
  <si>
    <t>Basic Concepts of Psychiatric-Mental Health Nursing</t>
  </si>
  <si>
    <t>0-7817-4078-9</t>
  </si>
  <si>
    <t>Neurology for the Boards</t>
  </si>
  <si>
    <t>978-1-6083-1428-7</t>
  </si>
  <si>
    <t>1-6054-7643-9</t>
  </si>
  <si>
    <t>978-0-7817-3625-1</t>
  </si>
  <si>
    <t>1-6054-7253-0</t>
  </si>
  <si>
    <t>01382696</t>
  </si>
  <si>
    <t>01337561</t>
  </si>
  <si>
    <t>1-5825-5507-9</t>
  </si>
  <si>
    <t>0-7817-4151-3</t>
  </si>
  <si>
    <t>978-0-7817-4768-4</t>
  </si>
  <si>
    <t>01279732</t>
  </si>
  <si>
    <t>1-4511-0920-2</t>
  </si>
  <si>
    <t>0-7817-6334-7</t>
  </si>
  <si>
    <t>978-1-6083-1089-0</t>
  </si>
  <si>
    <t>Introductory Guide to Cardiac Catheterization</t>
  </si>
  <si>
    <t>978-1-6083-1467-6</t>
  </si>
  <si>
    <t>1-4511-3160-7</t>
  </si>
  <si>
    <t>Atlas of Procedures in Neonatology</t>
  </si>
  <si>
    <t>978-0-7817-3869-9</t>
  </si>
  <si>
    <t>01382620</t>
  </si>
  <si>
    <t>0-7817-5791-6</t>
  </si>
  <si>
    <t>978-0-6833-0733-7</t>
  </si>
  <si>
    <t>1-6083-1143-0</t>
  </si>
  <si>
    <t>978-0-7817-6368-4</t>
  </si>
  <si>
    <t>01257011</t>
  </si>
  <si>
    <t>Pediatrics</t>
  </si>
  <si>
    <t>0-7817-4466-0</t>
  </si>
  <si>
    <t>01451468</t>
  </si>
  <si>
    <t>Clinical Laboratory Medicine</t>
  </si>
  <si>
    <t>Emergency Nursing: 5-Tier Triage Protocols</t>
  </si>
  <si>
    <t>1-6083-1777-3</t>
  </si>
  <si>
    <t>1-4511-1304-8</t>
  </si>
  <si>
    <t>1-6083-1788-9</t>
  </si>
  <si>
    <t>0-7817-1787-6</t>
  </si>
  <si>
    <t>1-5825-5553-2</t>
  </si>
  <si>
    <t>978-0-7817-8270-8</t>
  </si>
  <si>
    <t>0-7817-7882-4</t>
  </si>
  <si>
    <t>Ultrasound-Guided Regional Anesthesia and Pain Medicine</t>
  </si>
  <si>
    <t>Manual of Clinical Anesthesiology</t>
  </si>
  <si>
    <t>01257035</t>
  </si>
  <si>
    <t>Imaging of Soft Tissue Tumors</t>
  </si>
  <si>
    <t>978-0-7817-7498-7</t>
  </si>
  <si>
    <t>Textbook of Pediatric Emergency Medicine</t>
  </si>
  <si>
    <t>01382832</t>
  </si>
  <si>
    <t>01938981</t>
  </si>
  <si>
    <t>01382829</t>
  </si>
  <si>
    <t>0-7817-6750-4</t>
  </si>
  <si>
    <t>978-0-7817-1908-7</t>
  </si>
  <si>
    <t>01382630</t>
  </si>
  <si>
    <t>01382729</t>
  </si>
  <si>
    <t>01437557</t>
  </si>
  <si>
    <t>978-0-7817-1041-1</t>
  </si>
  <si>
    <t>978-0-7817-3458-5</t>
  </si>
  <si>
    <t>0-7817-9206-1</t>
  </si>
  <si>
    <t>Principles and Practice of Surgical Oncology: Multidisciplinary Approach to Difficult Problems</t>
  </si>
  <si>
    <t>Moffet's Pediatric Infectious Diseases: A Problem-Oriented Approach</t>
  </si>
  <si>
    <t>0-7817-5980-3</t>
  </si>
  <si>
    <t>978-1-6054-7050-4</t>
  </si>
  <si>
    <t>Neurology &amp; Psychiatry: 1,000 Questions to Help You Pass the Boards</t>
  </si>
  <si>
    <t>978-0-7817-8720-8</t>
  </si>
  <si>
    <t>Documentation in Action</t>
  </si>
  <si>
    <t>01437552</t>
  </si>
  <si>
    <t>Straight A's in Fluids and Electrolytes</t>
  </si>
  <si>
    <t>Pediatric Neurology: A Case Based Review</t>
  </si>
  <si>
    <t>01312065</t>
  </si>
  <si>
    <t>0-7817-6845-4</t>
  </si>
  <si>
    <t>Manual of Common Bedside Surgical Procedures</t>
  </si>
  <si>
    <t>Berek and Hacker's Gynecologic Oncology</t>
  </si>
  <si>
    <t>Clinical Imaging: An Atlas of Differential Diagnosis</t>
  </si>
  <si>
    <t>Electronic Fetal Monitoring: Concepts and Applications</t>
  </si>
  <si>
    <t>978-0-7817-7497-0</t>
  </si>
  <si>
    <t>01382602</t>
  </si>
  <si>
    <t>01382782</t>
  </si>
  <si>
    <t>Textbook of Spinal Surgery, The</t>
  </si>
  <si>
    <t>Field Guide to Fracture Management</t>
  </si>
  <si>
    <t>978-1-6054-7472-4</t>
  </si>
  <si>
    <t>01382773</t>
  </si>
  <si>
    <t>978-0-7817-8856-4</t>
  </si>
  <si>
    <t>978-0-7817-8762-8</t>
  </si>
  <si>
    <t>978-0-7817-6546-6</t>
  </si>
  <si>
    <t>01382661</t>
  </si>
  <si>
    <t>978-0-7817-2046-5</t>
  </si>
  <si>
    <t>0-7817-8000-4</t>
  </si>
  <si>
    <t>1-5825-5685-7</t>
  </si>
  <si>
    <t>0-7817-8265-1</t>
  </si>
  <si>
    <t>Sapira's Art and Science of Bedside Diagnosis</t>
  </si>
  <si>
    <t>00139932</t>
  </si>
  <si>
    <t>Nursing Preceptorship: Connecting Practice and Education</t>
  </si>
  <si>
    <t>978-0-7817-3583-4</t>
  </si>
  <si>
    <t>978-1-4511-8635-2</t>
  </si>
  <si>
    <t>0-7817-9401-3</t>
  </si>
  <si>
    <t>978-0-7817-9651-4</t>
  </si>
  <si>
    <t>0-7817-4097-5</t>
  </si>
  <si>
    <t>01735127</t>
  </si>
  <si>
    <t>978-0-7817-7513-7</t>
  </si>
  <si>
    <t>978-1-4511-4623-3</t>
  </si>
  <si>
    <t>1-6054-7644-7</t>
  </si>
  <si>
    <t>978-1-5825-5369-6</t>
  </si>
  <si>
    <t>Clinical Neurology of the Older Adult</t>
  </si>
  <si>
    <t>978-0-7817-6957-0</t>
  </si>
  <si>
    <t>978-1-6054-7152-5</t>
  </si>
  <si>
    <t>978-0-7817-4089-0</t>
  </si>
  <si>
    <t>0-7817-8500-6</t>
  </si>
  <si>
    <t>01276469</t>
  </si>
  <si>
    <t>01435753</t>
  </si>
  <si>
    <t>5-Minute Clinical Consult 2008, The</t>
  </si>
  <si>
    <t>1-4511-8999-0</t>
  </si>
  <si>
    <t>978-0-7817-8314-9</t>
  </si>
  <si>
    <t>0-7817-6563-3</t>
  </si>
  <si>
    <t>1-4511-4624-8</t>
  </si>
  <si>
    <t>01223039</t>
  </si>
  <si>
    <t>978-0-7817-9288-2</t>
  </si>
  <si>
    <t>01438879</t>
  </si>
  <si>
    <t>0-7817-7996-0</t>
  </si>
  <si>
    <t>0-7817-9507-9</t>
  </si>
  <si>
    <t>Wills Eye Hospital Atlas of Clinical Ophthalmology , The</t>
  </si>
  <si>
    <t>01382522</t>
  </si>
  <si>
    <t>Disorders of the Patellofemoral Joint</t>
  </si>
  <si>
    <t>01382825</t>
  </si>
  <si>
    <t>0-7817-3052-X</t>
  </si>
  <si>
    <t>5-Minute Toxicology Consult</t>
  </si>
  <si>
    <t>01436895</t>
  </si>
  <si>
    <t>Handbook of Adolescent Health Care</t>
  </si>
  <si>
    <t>Pediatric Neuroimaging</t>
  </si>
  <si>
    <t>978-0-7817-4043-2</t>
  </si>
  <si>
    <t>978-1-6091-3704-5</t>
  </si>
  <si>
    <t>0-7817-6603-6</t>
  </si>
  <si>
    <t>Portable Fluids and Electrolytes</t>
  </si>
  <si>
    <t>0-7817-8977-X</t>
  </si>
  <si>
    <t>978-1-4511-4380-5</t>
  </si>
  <si>
    <t>1-6054-7723-0</t>
  </si>
  <si>
    <t>978-0-7817-7858-9</t>
  </si>
  <si>
    <t>978-0-7817-7381-2</t>
  </si>
  <si>
    <t>978-1-5825-5567-6</t>
  </si>
  <si>
    <t>978-0-7817-4294-8</t>
  </si>
  <si>
    <t>978-1-6083-1777-6</t>
  </si>
  <si>
    <t>01626592</t>
  </si>
  <si>
    <t>Heart Failure: Pathophysiology, Molecular Biology, and Clinical Management</t>
  </si>
  <si>
    <t>1-4511-7354-7</t>
  </si>
  <si>
    <t>Complications of Shoulder Surgery: Treatment and Prevention</t>
  </si>
  <si>
    <t>Comprehensive Textbook of Perioperative Transesophageal Echocardiography</t>
  </si>
  <si>
    <t>0-7817-4525-X</t>
  </si>
  <si>
    <t>01626622</t>
  </si>
  <si>
    <t>Weiner &amp; Levitt's Pediatric Neurology</t>
  </si>
  <si>
    <t>978-0-7817-3220-8</t>
  </si>
  <si>
    <t>1-6083-1165-1</t>
  </si>
  <si>
    <t>Principles &amp; Practice of Palliative Care &amp; Supportive Oncology</t>
  </si>
  <si>
    <t>0-7817-9949-X</t>
  </si>
  <si>
    <t>978-0-7817-5096-7</t>
  </si>
  <si>
    <t>1-5825-5732-2</t>
  </si>
  <si>
    <t>978-1-6083-1079-1</t>
  </si>
  <si>
    <t>Nurse's 5-Minute Clinical Consult: Diseases</t>
  </si>
  <si>
    <t>01382756</t>
  </si>
  <si>
    <t>ECG Facts made Incredibly Quick!</t>
  </si>
  <si>
    <t>01429606</t>
  </si>
  <si>
    <t>0-7817-9282-7</t>
  </si>
  <si>
    <t>0-7817-3727-3</t>
  </si>
  <si>
    <t>Pediatric Telephone Advice</t>
  </si>
  <si>
    <t>5-Minute Obstetrics &amp; Gynecology Consult, The</t>
  </si>
  <si>
    <t>Cochlear Implants: Principles &amp; Practices</t>
  </si>
  <si>
    <t>01382850</t>
  </si>
  <si>
    <t>978-0-7817-8940-0</t>
  </si>
  <si>
    <t>0-7817-6507-2</t>
  </si>
  <si>
    <t>978-0-7817-8781-9</t>
  </si>
  <si>
    <t>978-0-7817-7930-2</t>
  </si>
  <si>
    <t>Manual of Peripheral Vascular Intervention</t>
  </si>
  <si>
    <t>01438862</t>
  </si>
  <si>
    <t>978-1-6091-3808-0</t>
  </si>
  <si>
    <t>01256998</t>
  </si>
  <si>
    <t>0-7817-5253-1</t>
  </si>
  <si>
    <t>01382479</t>
  </si>
  <si>
    <t>01382648</t>
  </si>
  <si>
    <t>01376503</t>
  </si>
  <si>
    <t>Visual Development, Diagnosis, and Treatment of the Pediatric Patient</t>
  </si>
  <si>
    <t>3rd_Edition</t>
  </si>
  <si>
    <t>0-7817-6886-1</t>
  </si>
  <si>
    <t>01439415</t>
  </si>
  <si>
    <t>0-7817-4650-7</t>
  </si>
  <si>
    <t>1-4511-7324-5</t>
  </si>
  <si>
    <t>01382760</t>
  </si>
  <si>
    <t>Manual of Radiology: Acute Problems and Essential Procedures</t>
  </si>
  <si>
    <t>978-1-5825-5349-8</t>
  </si>
  <si>
    <t>01382420</t>
  </si>
  <si>
    <t>0-7817-9819-1</t>
  </si>
  <si>
    <t>1-6054-7605-6</t>
  </si>
  <si>
    <t>1-5825-5538-9</t>
  </si>
  <si>
    <t>978-1-5825-5358-0</t>
  </si>
  <si>
    <t>0-7817-2837-1</t>
  </si>
  <si>
    <t>978-1-5825-5784-7</t>
  </si>
  <si>
    <t>Biopsy Interpretation of Soft Tissue Tumors</t>
  </si>
  <si>
    <t>978-1-4511-1656-4</t>
  </si>
  <si>
    <t>01382827</t>
  </si>
  <si>
    <t>00149849</t>
  </si>
  <si>
    <t>0-7817-2652-2</t>
  </si>
  <si>
    <t>Wound Care Facts Made Incredibly Quick!</t>
  </si>
  <si>
    <t>0-7817-6473-4</t>
  </si>
  <si>
    <t>1-5825-5317-3</t>
  </si>
  <si>
    <t>01412547</t>
  </si>
  <si>
    <t>Nurse's Quick Check: Fluids and Electrolytes</t>
  </si>
  <si>
    <t>01438873</t>
  </si>
  <si>
    <t>978-1-5825-5335-1</t>
  </si>
  <si>
    <t>0-7817-8867-6</t>
  </si>
  <si>
    <t>978-1-4511-9007-6</t>
  </si>
  <si>
    <t>Kaplan and Sadock's Pocket Handbook of Psychiatric Drug Treatment</t>
  </si>
  <si>
    <t>Manual of Neonatal Care</t>
  </si>
  <si>
    <t>0-7817-5643-X</t>
  </si>
  <si>
    <t>Springhouse Review for Psychiatric and Mental Health Nursing Certification</t>
  </si>
  <si>
    <t>01382859</t>
  </si>
  <si>
    <t>978-1-4511-5023-0</t>
  </si>
  <si>
    <t>1-6091-3808-2</t>
  </si>
  <si>
    <t>Mastery of Endoscopic and Laparoscopic Surgery: Indications and Techniques</t>
  </si>
  <si>
    <t>01256975</t>
  </si>
  <si>
    <t>978-1-6054-7236-2</t>
  </si>
  <si>
    <t>01337351</t>
  </si>
  <si>
    <t>978-0-7817-7191-7</t>
  </si>
  <si>
    <t>978-0-7817-5104-9</t>
  </si>
  <si>
    <t>978-1-4511-0262-8</t>
  </si>
  <si>
    <t>1-6054-7575-0</t>
  </si>
  <si>
    <t>Manual of Orthopaedics</t>
  </si>
  <si>
    <t>01382662</t>
  </si>
  <si>
    <t>Bladder Biopsy Interpretation</t>
  </si>
  <si>
    <t>0-7817-9912-0</t>
  </si>
  <si>
    <t>978-1-4511-1019-7</t>
  </si>
  <si>
    <t>1-6054-7227-1</t>
  </si>
  <si>
    <t>978-0-7817-8205-0</t>
  </si>
  <si>
    <t>0-7817-4742-2</t>
  </si>
  <si>
    <t>1-6054-7055-4</t>
  </si>
  <si>
    <t>ASAM Principles of Addiction Medicine, The</t>
  </si>
  <si>
    <t>1-4963-3996-7</t>
  </si>
  <si>
    <t>01382678</t>
  </si>
  <si>
    <t>1-5825-5290-8</t>
  </si>
  <si>
    <t>0-7817-9627-X</t>
  </si>
  <si>
    <t>Field Guide to the Difficult Patient Interview</t>
  </si>
  <si>
    <t>978-0-7817-9401-5</t>
  </si>
  <si>
    <t>978-0-7817-5286-2</t>
  </si>
  <si>
    <t>978-0-7817-3853-8</t>
  </si>
  <si>
    <t>0-7817-4838-0</t>
  </si>
  <si>
    <t>Principles of Ambulatory Medicine</t>
  </si>
  <si>
    <t>35th_Edition</t>
  </si>
  <si>
    <t>01429592</t>
  </si>
  <si>
    <t>978-0-7817-8915-8</t>
  </si>
  <si>
    <t>978-0-7817-5083-7</t>
  </si>
  <si>
    <t>01253101</t>
  </si>
  <si>
    <t>0-7817-6275-8</t>
  </si>
  <si>
    <t>Charting Made Incredibly Easy!</t>
  </si>
  <si>
    <t>0-6833-0202-7</t>
  </si>
  <si>
    <t>978-0-7817-7250-1</t>
  </si>
  <si>
    <t>ER Facts Made Incredibly Quick!</t>
  </si>
  <si>
    <t>0-7817-5198-5</t>
  </si>
  <si>
    <t>978-0-7817-9788-7</t>
  </si>
  <si>
    <t>978-0-7817-4081-4</t>
  </si>
  <si>
    <t>Wintrobe's Clinical Hematology</t>
  </si>
  <si>
    <t>0-7817-8514-6</t>
  </si>
  <si>
    <t>01438843</t>
  </si>
  <si>
    <t>0-7817-9060-3</t>
  </si>
  <si>
    <t>978-0-7817-9186-1</t>
  </si>
  <si>
    <t>Head &amp; Neck Pathology: Atlas for Histologic &amp; Cytologic Diagnosis</t>
  </si>
  <si>
    <t>Practical Neurology DVD Review</t>
  </si>
  <si>
    <t>978-1-5825-5728-1</t>
  </si>
  <si>
    <t>978-0-7817-6770-5</t>
  </si>
  <si>
    <t>0-7817-6512-9</t>
  </si>
  <si>
    <t>Manual of Endocrinology &amp; Metabolism</t>
  </si>
  <si>
    <t>0-7817-5191-8</t>
  </si>
  <si>
    <t>01337354</t>
  </si>
  <si>
    <t>978-0-7817-5777-5</t>
  </si>
  <si>
    <t>01279740</t>
  </si>
  <si>
    <t>01382811</t>
  </si>
  <si>
    <t>01382690</t>
  </si>
  <si>
    <t>978-0-7817-6154-3</t>
  </si>
  <si>
    <t>0-7817-7390-3</t>
  </si>
  <si>
    <t>01284352</t>
  </si>
  <si>
    <t>1-6091-3714-0</t>
  </si>
  <si>
    <t>DeVita, Hellman, and Rosenberg's Cancer Principles &amp; Practice of Oncology Review</t>
  </si>
  <si>
    <t>1-6054-7749-4</t>
  </si>
  <si>
    <t>Handbook of Kidney Transplantation</t>
  </si>
  <si>
    <t>978-0-7817-6085-0</t>
  </si>
  <si>
    <t>0-7817-8951-6</t>
  </si>
  <si>
    <t>978-1-6054-7496-0</t>
  </si>
  <si>
    <t>0-7817-9284-3</t>
  </si>
  <si>
    <t>01223021</t>
  </si>
  <si>
    <t>1-6054-7234-4</t>
  </si>
  <si>
    <t>01382432</t>
  </si>
  <si>
    <t>01337649</t>
  </si>
  <si>
    <t>Pocket Anesthesia</t>
  </si>
  <si>
    <t>Massachusetts General Hospital/McLean Hospital, The: Residency Handbook of Psychiatry</t>
  </si>
  <si>
    <t>01382894</t>
  </si>
  <si>
    <t>978-0-7817-4433-1</t>
  </si>
  <si>
    <t>00149845</t>
  </si>
  <si>
    <t>00139875</t>
  </si>
  <si>
    <t>01257020</t>
  </si>
  <si>
    <t>978-1-5825-5500-3</t>
  </si>
  <si>
    <t>01626593</t>
  </si>
  <si>
    <t>978-1-6083-1782-0</t>
  </si>
  <si>
    <t>Head and Neck Radiology</t>
  </si>
  <si>
    <t>01382489</t>
  </si>
  <si>
    <t>Telephone Triage for Obstetrics and Gynecology</t>
  </si>
  <si>
    <t>1-5825-5868-X</t>
  </si>
  <si>
    <t>978-1-5825-5703-8</t>
  </si>
  <si>
    <t>Samuel's Manual of Neurologic Therapeutics</t>
  </si>
  <si>
    <t>2009_Edition</t>
  </si>
  <si>
    <t>1-5825-5203-7</t>
  </si>
  <si>
    <t>Washington Manual, The: General Internal Medicine - Subspecialty Consult</t>
  </si>
  <si>
    <t>0-7817-7204-4</t>
  </si>
  <si>
    <t>Comprehensive Textbook of Genitourinary Oncology</t>
  </si>
  <si>
    <t>01382497</t>
  </si>
  <si>
    <t>01382780</t>
  </si>
  <si>
    <t>0-7817-6311-8</t>
  </si>
  <si>
    <t>Lippincott Manual of Nursing Practice Pocket Guide: Critical Care Nursing</t>
  </si>
  <si>
    <t>01382576</t>
  </si>
  <si>
    <t>01382795</t>
  </si>
  <si>
    <t>5 Minute Pain Management Consult, The</t>
  </si>
  <si>
    <t>01279710</t>
  </si>
  <si>
    <t>1-6054-7235-2</t>
  </si>
  <si>
    <t>0-7817-8897-8</t>
  </si>
  <si>
    <t>1-4511-1893-7</t>
  </si>
  <si>
    <t>1-5825-5675-X</t>
  </si>
  <si>
    <t>01257009</t>
  </si>
  <si>
    <t>Avoiding Common ICU Errors</t>
  </si>
  <si>
    <t>978-0-7817-7216-7</t>
  </si>
  <si>
    <t>978-0-7817-7949-4</t>
  </si>
  <si>
    <t>1-5825-5514-1</t>
  </si>
  <si>
    <t>Nursing Procedures</t>
  </si>
  <si>
    <t>978-0-7817-9558-6</t>
  </si>
  <si>
    <t>0-7817-7146-3</t>
  </si>
  <si>
    <t>01382611</t>
  </si>
  <si>
    <t>0-7817-9569-9</t>
  </si>
  <si>
    <t>1-5825-5688-1</t>
  </si>
  <si>
    <t>01279749</t>
  </si>
  <si>
    <t>978-1-4963-4313-0</t>
  </si>
  <si>
    <t>0-7817-9378-5</t>
  </si>
  <si>
    <t>Assessment: An Incredibly Visual Pocket Guide</t>
  </si>
  <si>
    <t>978-0-7817-2072-4</t>
  </si>
  <si>
    <t>Atlas of Image-Guided Intervention in Regional Anesthesia and Pain Medicine</t>
  </si>
  <si>
    <t>0-7817-6299-5</t>
  </si>
  <si>
    <t>01337300</t>
  </si>
  <si>
    <t>01720557</t>
  </si>
  <si>
    <t>01382794</t>
  </si>
  <si>
    <t>0-7817-9622-9</t>
  </si>
  <si>
    <t>978-1-5825-5541-6</t>
  </si>
  <si>
    <t>01745973</t>
  </si>
  <si>
    <t>01438043</t>
  </si>
  <si>
    <t>Pediatric Critical Care Medicine</t>
  </si>
  <si>
    <t>978-0-7817-5950-2</t>
  </si>
  <si>
    <t>978-1-6054-7841-8</t>
  </si>
  <si>
    <t>Avoiding Common Anesthesia Errors</t>
  </si>
  <si>
    <t>0-7817-7216-8</t>
  </si>
  <si>
    <t>978-0-7817-5813-0</t>
  </si>
  <si>
    <t>0-7817-5181-0</t>
  </si>
  <si>
    <t>1-6054-7050-3</t>
  </si>
  <si>
    <t>0-7817-6988-4</t>
  </si>
  <si>
    <t>Handbook of Geriatric Nursing Care</t>
  </si>
  <si>
    <t>Care of the Newborn: A Handbook for Primary Care</t>
  </si>
  <si>
    <t>978-1-5825-5430-3</t>
  </si>
  <si>
    <t>978-0-7817-6563-3</t>
  </si>
  <si>
    <t>Radiation Oncology Management Decisions</t>
  </si>
  <si>
    <t>978-0-7817-4838-4</t>
  </si>
  <si>
    <t>Infectious Diseases of the Female Genital Tract</t>
  </si>
  <si>
    <t>01437420</t>
  </si>
  <si>
    <t>0-7817-5628-6</t>
  </si>
  <si>
    <t>01222995</t>
  </si>
  <si>
    <t>0-7817-4298-6</t>
  </si>
  <si>
    <t>01222974</t>
  </si>
  <si>
    <t>978-0-7817-4774-5</t>
  </si>
  <si>
    <t>978-0-7817-7749-0</t>
  </si>
  <si>
    <t>978-0-7817-6855-9</t>
  </si>
  <si>
    <t>978-0-7817-5567-2</t>
  </si>
  <si>
    <t>0-7817-6369-X</t>
  </si>
  <si>
    <t>01382763</t>
  </si>
  <si>
    <t>01437408</t>
  </si>
  <si>
    <t>01429530</t>
  </si>
  <si>
    <t>978-1-6054-7335-2</t>
  </si>
  <si>
    <t>Harwood-Nuss' Clinical Practice of Emergency Medicine</t>
  </si>
  <si>
    <t>01382457</t>
  </si>
  <si>
    <t>01429599</t>
  </si>
  <si>
    <t>1-4511-1905-4</t>
  </si>
  <si>
    <t>Anesthesiologist's Manual of Surgical Procedures</t>
  </si>
  <si>
    <t>1-6054-7973-X</t>
  </si>
  <si>
    <t>Ischemic Stroke</t>
  </si>
  <si>
    <t>978-0-7817-6334-0</t>
  </si>
  <si>
    <t>978-1-6054-7591-2</t>
  </si>
  <si>
    <t>01382813</t>
  </si>
  <si>
    <t>978-1-6091-3714-4</t>
  </si>
  <si>
    <t>978-0-7817-9935-5</t>
  </si>
  <si>
    <t>0-7817-5564-6</t>
  </si>
  <si>
    <t>978-0-7817-3585-8</t>
  </si>
  <si>
    <t>978-1-4511-9326-8</t>
  </si>
  <si>
    <t>978-0-7817-5248-0</t>
  </si>
  <si>
    <t>0-7817-7349-0</t>
  </si>
  <si>
    <t>Operative Techniques in Adult Reconstruction Surgery</t>
  </si>
  <si>
    <t>01382436</t>
  </si>
  <si>
    <t>978-0-7817-7468-0</t>
  </si>
  <si>
    <t>978-1-6083-1290-0</t>
  </si>
  <si>
    <t>0-7817-3545-9</t>
  </si>
  <si>
    <t>01506774</t>
  </si>
  <si>
    <t>01437560</t>
  </si>
  <si>
    <t>0-7817-4250-1</t>
  </si>
  <si>
    <t>Pediatric Nursing Made Incredibly Easy!</t>
  </si>
  <si>
    <t>0-7817-4810-0</t>
  </si>
  <si>
    <t>978-0-7817-4853-7</t>
  </si>
  <si>
    <t>1-5825-5449-8</t>
  </si>
  <si>
    <t>978-0-7817-6654-8</t>
  </si>
  <si>
    <t>Techniques in Cosmetic Eyelid Surgery: A Case Study Approach</t>
  </si>
  <si>
    <t>01382617</t>
  </si>
  <si>
    <t>978-0-7817-3633-6</t>
  </si>
  <si>
    <t>01762473</t>
  </si>
  <si>
    <t>Lewis's Child and Adolescent Psychiatry: A Comprehensive Textbook</t>
  </si>
  <si>
    <t>01256970</t>
  </si>
  <si>
    <t>0-7817-9838-8</t>
  </si>
  <si>
    <t>0-7817-4435-0</t>
  </si>
  <si>
    <t>01382655</t>
  </si>
  <si>
    <t>Immunomodulating Drugs for the Treatment of Cancer</t>
  </si>
  <si>
    <t>978-0-7817-9020-8</t>
  </si>
  <si>
    <t>01745909</t>
  </si>
  <si>
    <t>Failed Spine, The</t>
  </si>
  <si>
    <t>Operative Techniques in Orthopaedic Surgery</t>
  </si>
  <si>
    <t>01256963</t>
  </si>
  <si>
    <t>978-0-7817-5498-9</t>
  </si>
  <si>
    <t>1-6054-7197-6</t>
  </si>
  <si>
    <t>0-7817-5563-8</t>
  </si>
  <si>
    <t>1-5825-5693-8</t>
  </si>
  <si>
    <t>978-0-7817-9606-4</t>
  </si>
  <si>
    <t>1-6054-7335-9</t>
  </si>
  <si>
    <t>978-0-7817-8754-3</t>
  </si>
  <si>
    <t>978-1-5825-5339-9</t>
  </si>
  <si>
    <t>978-1-6054-7333-8</t>
  </si>
  <si>
    <t>Managing Chronic Disorders</t>
  </si>
  <si>
    <t>978-0-7817-6908-2</t>
  </si>
  <si>
    <t>00139962</t>
  </si>
  <si>
    <t>1-4511-0261-5</t>
  </si>
  <si>
    <t>01279770</t>
  </si>
  <si>
    <t>978-0-7817-5551-1</t>
  </si>
  <si>
    <t>2008_Edition</t>
  </si>
  <si>
    <t>978-0-7817-4747-9</t>
  </si>
  <si>
    <t>Peripheral Nerve Blocks: A Color Atlas</t>
  </si>
  <si>
    <t>Principles and Practice of Psychopharmacotherapy</t>
  </si>
  <si>
    <t>978-1-6054-7546-2</t>
  </si>
  <si>
    <t>1-5825-5343-2</t>
  </si>
  <si>
    <t>0-7817-9750-0</t>
  </si>
  <si>
    <t>Daniel's Knee Injuries: Ligament and Cartilage Structure, Function, Injury, and Repair</t>
  </si>
  <si>
    <t>00139927</t>
  </si>
  <si>
    <t>MRI Normal Variants and Pitfalls</t>
  </si>
  <si>
    <t>0-7817-8045-4</t>
  </si>
  <si>
    <t>1-4511-7357-1</t>
  </si>
  <si>
    <t>01438851</t>
  </si>
  <si>
    <t>0-7817-2828-2</t>
  </si>
  <si>
    <t>Oski's Pediatrics</t>
  </si>
  <si>
    <t>0-7817-2796-0</t>
  </si>
  <si>
    <t>01437497</t>
  </si>
  <si>
    <t>01807316</t>
  </si>
  <si>
    <t>978-0-7817-5452-1</t>
  </si>
  <si>
    <t>Nurse's 5-Minute Clinical Consult: Signs &amp; Symptoms</t>
  </si>
  <si>
    <t>01337656</t>
  </si>
  <si>
    <t>Interpreting Difficult ECGs: A Rapid Reference</t>
  </si>
  <si>
    <t>978-0-7817-9425-1</t>
  </si>
  <si>
    <t>Chest Radiology: The Essentials</t>
  </si>
  <si>
    <t>01382732</t>
  </si>
  <si>
    <t>0-7817-6227-8</t>
  </si>
  <si>
    <t>5-Minute Clinical Consult 2017, The</t>
  </si>
  <si>
    <t>1-6054-7443-6</t>
  </si>
  <si>
    <t>1-5825-5416-1</t>
  </si>
  <si>
    <t>00146940</t>
  </si>
  <si>
    <t>0-7817-6270-7</t>
  </si>
  <si>
    <t>978-0-7817-6539-8</t>
  </si>
  <si>
    <t>0-7817-8314-3</t>
  </si>
  <si>
    <t>Natural Medication for Pychiatric Disorders: Considering the Alternatives</t>
  </si>
  <si>
    <t>Portable RN: The All-in-One Nursing Reference</t>
  </si>
  <si>
    <t>00140005</t>
  </si>
  <si>
    <t>978-0-7817-8647-8</t>
  </si>
  <si>
    <t>01337663</t>
  </si>
  <si>
    <t>0-7817-5346-5</t>
  </si>
  <si>
    <t>1-4511-8270-8</t>
  </si>
  <si>
    <t>0-7817-8168-X</t>
  </si>
  <si>
    <t>978-0-7817-1683-3</t>
  </si>
  <si>
    <t>Henderson's Orbital Tumors</t>
  </si>
  <si>
    <t>0-7817-6057-7</t>
  </si>
  <si>
    <t>01436896</t>
  </si>
  <si>
    <t>1-6083-1340-9</t>
  </si>
  <si>
    <t>Molecular Anatomic Imaging: PET-CT and SPECT-CT Integrated Modality Imaging</t>
  </si>
  <si>
    <t>978-0-7817-9757-3</t>
  </si>
  <si>
    <t>01382486</t>
  </si>
  <si>
    <t>978-1-5825-5320-7</t>
  </si>
  <si>
    <t>Manual of Outpatient Gynecology</t>
  </si>
  <si>
    <t>978-1-5825-5820-2</t>
  </si>
  <si>
    <t>978-1-5825-5973-5</t>
  </si>
  <si>
    <t>01382659</t>
  </si>
  <si>
    <t>Rosen's Breast Pathology</t>
  </si>
  <si>
    <t>Mastery of Surgery</t>
  </si>
  <si>
    <t>01279707</t>
  </si>
  <si>
    <t>978-0-7817-7482-6</t>
  </si>
  <si>
    <t>01279765</t>
  </si>
  <si>
    <t>00139880</t>
  </si>
  <si>
    <t>Rang's Children's Fractures</t>
  </si>
  <si>
    <t>1-6054-7885-7</t>
  </si>
  <si>
    <t>01337655</t>
  </si>
  <si>
    <t>978-0-7817-5643-3</t>
  </si>
  <si>
    <t>1-6054-7911-X</t>
  </si>
  <si>
    <t>Transbronchial and Endobronchial Biopsies</t>
  </si>
  <si>
    <t>Avery's Neonatology</t>
  </si>
  <si>
    <t>01439400</t>
  </si>
  <si>
    <t>0-7817-5400-3</t>
  </si>
  <si>
    <t>01382443</t>
  </si>
  <si>
    <t>978-0-7817-4258-0</t>
  </si>
  <si>
    <t>0-7817-9529-X</t>
  </si>
  <si>
    <t>0-7817-6944-2</t>
  </si>
  <si>
    <t>Behavioral Science in Medicine</t>
  </si>
  <si>
    <t>Ocular Inflammatory Disease and Uveitis Manual: Diagnosis and Treatment</t>
  </si>
  <si>
    <t>Biopsy Interpretation of the Uterine Cervix and Corpus</t>
  </si>
  <si>
    <t>01437405</t>
  </si>
  <si>
    <t>DeJong's The Neurologic Examination</t>
  </si>
  <si>
    <t>0-7817-5785-1</t>
  </si>
  <si>
    <t>Maternal &amp; ChildHealth Nursing: Care of the Childbearing and Childrearing Family</t>
  </si>
  <si>
    <t>978-1-4963-5359-7</t>
  </si>
  <si>
    <t>0-7817-7559-0</t>
  </si>
  <si>
    <t>01435385</t>
  </si>
  <si>
    <t>1-6054-7196-8</t>
  </si>
  <si>
    <t>978-0-7817-8591-4</t>
  </si>
  <si>
    <t>978-0-7817-6081-2</t>
  </si>
  <si>
    <t>978-1-5825-5304-7</t>
  </si>
  <si>
    <t>Complications in Anesthesiology</t>
  </si>
  <si>
    <t>978-0-7817-2796-9</t>
  </si>
  <si>
    <t>978-1-4511-0941-2</t>
  </si>
  <si>
    <t>978-1-6054-7027-6</t>
  </si>
  <si>
    <t>978-1-6054-7197-6</t>
  </si>
  <si>
    <t>0-7817-2470-8</t>
  </si>
  <si>
    <t>Mastery of Cardiothoracic Surgery</t>
  </si>
  <si>
    <t>978-1-5825-5670-3</t>
  </si>
  <si>
    <t>0-7817-7452-7</t>
  </si>
  <si>
    <t>01257007</t>
  </si>
  <si>
    <t>0-7817-6604-4</t>
  </si>
  <si>
    <t>01337290</t>
  </si>
  <si>
    <t>978-0-7817-4078-4</t>
  </si>
  <si>
    <t>978-1-4511-0264-2</t>
  </si>
  <si>
    <t>01787257</t>
  </si>
  <si>
    <t>1-5825-5341-6</t>
  </si>
  <si>
    <t>0-7817-6081-X</t>
  </si>
  <si>
    <t>978-0-7817-5181-0</t>
  </si>
  <si>
    <t>Pain Medicine Pocketpedia</t>
  </si>
  <si>
    <t>Charting: An Incredibly Easy! Pocket Guide</t>
  </si>
  <si>
    <t>Color Atlas and Text of Pulmonary Pathology</t>
  </si>
  <si>
    <t>978-1-6083-1143-9</t>
  </si>
  <si>
    <t>1-5825-5624-5</t>
  </si>
  <si>
    <t>Manual of Office-Based Anesthesia Procedures</t>
  </si>
  <si>
    <t>978-0-7817-2644-3</t>
  </si>
  <si>
    <t>01382519</t>
  </si>
  <si>
    <t>01439418</t>
  </si>
  <si>
    <t>Field Guide to Urgent &amp; Ambulatory Care Procedures</t>
  </si>
  <si>
    <t>0-7817-4206-4</t>
  </si>
  <si>
    <t>01257047</t>
  </si>
  <si>
    <t>978-0-7817-9444-2</t>
  </si>
  <si>
    <t>Portable Pathophysiology</t>
  </si>
  <si>
    <t>01382887</t>
  </si>
  <si>
    <t>Manual of Clinical Oncology</t>
  </si>
  <si>
    <t>1-5825-5347-5</t>
  </si>
  <si>
    <t>0-7817-9867-1</t>
  </si>
  <si>
    <t>Lippincott's Primary Care Psychiatry</t>
  </si>
  <si>
    <t>978-0-7817-7881-7</t>
  </si>
  <si>
    <t>978-0-7817-4643-4</t>
  </si>
  <si>
    <t>978-1-6054-7748-0</t>
  </si>
  <si>
    <t>Springhouse Corporation</t>
  </si>
  <si>
    <t>978-1-4511-8612-3</t>
  </si>
  <si>
    <t>978-1-5825-5004-6</t>
  </si>
  <si>
    <t>Washington Manual of Medical Therapeutics, The</t>
  </si>
  <si>
    <t>0-6830-1673-3</t>
  </si>
  <si>
    <t>01382492</t>
  </si>
  <si>
    <t>Hodgkin Lymphoma</t>
  </si>
  <si>
    <t>00139916</t>
  </si>
  <si>
    <t>1-5825-5335-1</t>
  </si>
  <si>
    <t>0-7817-7385-7</t>
  </si>
  <si>
    <t>Shields Textbook of Glaucoma</t>
  </si>
  <si>
    <t>0-7817-2237-3</t>
  </si>
  <si>
    <t>01382478</t>
  </si>
  <si>
    <t>978-0-7817-4698-4</t>
  </si>
  <si>
    <t>1-6054-7888-1</t>
  </si>
  <si>
    <t>0-7817-8687-8</t>
  </si>
  <si>
    <t>01437531</t>
  </si>
  <si>
    <t>01382455</t>
  </si>
  <si>
    <t>Blume's Atlas of Pediatric and Adult Electroencephalography</t>
  </si>
  <si>
    <t>01382889</t>
  </si>
  <si>
    <t>English &amp; Spanish Medical Words &amp; Phrases</t>
  </si>
  <si>
    <t>General Thoracic Surgery</t>
  </si>
  <si>
    <t>978-0-7817-9517-3</t>
  </si>
  <si>
    <t>01437104</t>
  </si>
  <si>
    <t>1-4511-0265-8</t>
  </si>
  <si>
    <t>0-7817-2606-9</t>
  </si>
  <si>
    <t>01337346</t>
  </si>
  <si>
    <t>01412563</t>
  </si>
  <si>
    <t>Pain in Infants, Children, and Adolescents</t>
  </si>
  <si>
    <t>978-1-6091-3266-8</t>
  </si>
  <si>
    <t>Principles and Practice of the Biologic Therapy of Cancer</t>
  </si>
  <si>
    <t>0-7817-4189-0</t>
  </si>
  <si>
    <t>1-4511-1436-2</t>
  </si>
  <si>
    <t>Practice Guidelines for Obstetrics and Gynecology</t>
  </si>
  <si>
    <t>01222982</t>
  </si>
  <si>
    <t>0-7817-7466-7</t>
  </si>
  <si>
    <t>01382495</t>
  </si>
  <si>
    <t>0-7817-8899-4</t>
  </si>
  <si>
    <t>01376507</t>
  </si>
  <si>
    <t>978-0-7817-4658-8</t>
  </si>
  <si>
    <t>01412552</t>
  </si>
  <si>
    <t>0-7817-3583-1</t>
  </si>
  <si>
    <t>01256993</t>
  </si>
  <si>
    <t>5-Minute Infectious Diseases Consult</t>
  </si>
  <si>
    <t>978-0-7817-8282-1</t>
  </si>
  <si>
    <t>Manual of Emergency Medicine</t>
  </si>
  <si>
    <t>Wyllie's Treatment of Epilepsy: Principles and Practice</t>
  </si>
  <si>
    <t>Breast Imaging</t>
  </si>
  <si>
    <t>01439403</t>
  </si>
  <si>
    <t>978-1-5825-5513-3</t>
  </si>
  <si>
    <t>Nursing Student Success Made Incredibly Easy!</t>
  </si>
  <si>
    <t>01382447</t>
  </si>
  <si>
    <t>978-0-7817-8308-8</t>
  </si>
  <si>
    <t>01438844</t>
  </si>
  <si>
    <t>Advanced Practice Oncology and Palliative Care Guidelines</t>
  </si>
  <si>
    <t>01400435</t>
  </si>
  <si>
    <t>01412558</t>
  </si>
  <si>
    <t>Handbook of Headache</t>
  </si>
  <si>
    <t>01438897</t>
  </si>
  <si>
    <t>978-1-4511-4447-5</t>
  </si>
  <si>
    <t>01382518</t>
  </si>
  <si>
    <t>MRI: The Basics</t>
  </si>
  <si>
    <t>01626597</t>
  </si>
  <si>
    <t>978-0-7817-9394-0</t>
  </si>
  <si>
    <t>0-7817-6998-1</t>
  </si>
  <si>
    <t>01429662</t>
  </si>
  <si>
    <t>Clinician's Guide to Antiepileptic Drug Use</t>
  </si>
  <si>
    <t>0-7817-9153-7</t>
  </si>
  <si>
    <t>01787259</t>
  </si>
  <si>
    <t>1-6054-7077-5</t>
  </si>
  <si>
    <t>Field Guide to Clinical Dermatology</t>
  </si>
  <si>
    <t>978-0-7817-4802-5</t>
  </si>
  <si>
    <t>978-0-7817-3278-9</t>
  </si>
  <si>
    <t>978-0-7817-6285-4</t>
  </si>
  <si>
    <t>0-7817-3894-6</t>
  </si>
  <si>
    <t>01382685</t>
  </si>
  <si>
    <t>Complications of Spine Surgery: Treatment and Prevention</t>
  </si>
  <si>
    <t>01451469</t>
  </si>
  <si>
    <t>0-7817-5322-8</t>
  </si>
  <si>
    <t>978-0-7817-7136-8</t>
  </si>
  <si>
    <t>1-5825-5004-2</t>
  </si>
  <si>
    <t>01382551</t>
  </si>
  <si>
    <t>Nursing 2016 Drug Handbook</t>
  </si>
  <si>
    <t>Springhouse Review for Medical-Surgical Nursing Certification</t>
  </si>
  <si>
    <t>Handbook of Interventional Radiologic Procedures</t>
  </si>
  <si>
    <t>0-7817-7938-3</t>
  </si>
  <si>
    <t>978-0-7817-2997-0</t>
  </si>
  <si>
    <t>0-7817-9288-6</t>
  </si>
  <si>
    <t>Fundamentals of High-Resolution Lung CT: Common Findings, Common Patterns, Common Diseases, and Differential Diagnosis</t>
  </si>
  <si>
    <t>0-7817-5452-6</t>
  </si>
  <si>
    <t>1-4511-3203-4</t>
  </si>
  <si>
    <t>0-7817-5092-X</t>
  </si>
  <si>
    <t>01382672</t>
  </si>
  <si>
    <t>01437558</t>
  </si>
  <si>
    <t>01382665</t>
  </si>
  <si>
    <t>978-0-7817-8338-5</t>
  </si>
  <si>
    <t>978-0-6833-0751-1</t>
  </si>
  <si>
    <t>0-7817-9715-2</t>
  </si>
  <si>
    <t>Nursing: Interpreting Signs &amp; Symptoms</t>
  </si>
  <si>
    <t>01626595</t>
  </si>
  <si>
    <t>978-0-7817-4189-7</t>
  </si>
  <si>
    <t>01382614</t>
  </si>
  <si>
    <t>1-4511-7659-7</t>
  </si>
  <si>
    <t>1-6054-7748-6</t>
  </si>
  <si>
    <t>01745935</t>
  </si>
  <si>
    <t>978-0-7817-7196-2</t>
  </si>
  <si>
    <t>978-0-8743-4943-6</t>
  </si>
  <si>
    <t>7th_Edition</t>
  </si>
  <si>
    <t>Field Guide to Internal Medicine</t>
  </si>
  <si>
    <t>01382646</t>
  </si>
  <si>
    <t>01337301</t>
  </si>
  <si>
    <t>1-5825-5342-4</t>
  </si>
  <si>
    <t>978-0-7817-3363-2</t>
  </si>
  <si>
    <t>Pathophysiology of Heart Disease: A Collaborative Project of Medical Students and Faculty</t>
  </si>
  <si>
    <t>Handbook of Psychopharmacotherapy: A Life Span Approach</t>
  </si>
  <si>
    <t>Master Techniques in Orthopaedic Surgery: Reconstructive Knee Surgery</t>
  </si>
  <si>
    <t>0-7817-7218-4</t>
  </si>
  <si>
    <t>01382800</t>
  </si>
  <si>
    <t>01382769</t>
  </si>
  <si>
    <t>Fluids and Electrolytes: A 2-in-1 Reference for Nurses</t>
  </si>
  <si>
    <t>01382717</t>
  </si>
  <si>
    <t>0-7817-6706-7</t>
  </si>
  <si>
    <t>978-0-7817-6527-5</t>
  </si>
  <si>
    <t>Cardiovascular MRI Tutorial: Lectures and Learning</t>
  </si>
  <si>
    <t>00139952</t>
  </si>
  <si>
    <t>RN Expert Guides: Neurologic Care</t>
  </si>
  <si>
    <t>Edition</t>
  </si>
  <si>
    <t>1-6091-3266-1</t>
  </si>
  <si>
    <t>0-7817-4327-3</t>
  </si>
  <si>
    <t>978-1-5825-5553-9</t>
  </si>
  <si>
    <t>978-1-5825-5704-5</t>
  </si>
  <si>
    <t>ACLS Review Made Incredibly Easy!</t>
  </si>
  <si>
    <t>1-4511-0303-4</t>
  </si>
  <si>
    <t>01429664</t>
  </si>
  <si>
    <t>Child and Adolescent Psychiatry: A Practical Guide</t>
  </si>
  <si>
    <t>978-1-5825-5688-8</t>
  </si>
  <si>
    <t>01337672</t>
  </si>
  <si>
    <t>978-0-7817-7869-5</t>
  </si>
  <si>
    <t>978-0-7817-9821-1</t>
  </si>
  <si>
    <t>Low Back Disorders: A Medical Enigma</t>
  </si>
  <si>
    <t>978-1-4511-1893-3</t>
  </si>
  <si>
    <t>1-6083-1100-7</t>
  </si>
  <si>
    <t>0-7817-5766-5</t>
  </si>
  <si>
    <t>Transplant Infections</t>
  </si>
  <si>
    <t>978-0-7817-4797-4</t>
  </si>
  <si>
    <t>Handbook for Principles and Practice of Gynecologic Oncology</t>
  </si>
  <si>
    <t>Handbook of Nursing Diagnosis</t>
  </si>
  <si>
    <t>1-6091-3422-2</t>
  </si>
  <si>
    <t>0-7817-5754-1</t>
  </si>
  <si>
    <t>1-6054-7672-2</t>
  </si>
  <si>
    <t>Practical Approaches to Forensic Mental Health Testimony</t>
  </si>
  <si>
    <t>978-0-7817-4052-4</t>
  </si>
  <si>
    <t>01312096</t>
  </si>
  <si>
    <t>0-7817-7237-0</t>
  </si>
  <si>
    <t>ECG Interpretation made Incredibly Easy!</t>
  </si>
  <si>
    <t>978-1-5825-5340-5</t>
  </si>
  <si>
    <t>1-4698-0123-X</t>
  </si>
  <si>
    <t>0-7817-4297-8</t>
  </si>
  <si>
    <t>Chart Smart: The A-to-Z Guide to Better Nursing Documentation</t>
  </si>
  <si>
    <t>Anesthesiology Keywords Review</t>
  </si>
  <si>
    <t>1-6054-7627-7</t>
  </si>
  <si>
    <t>978-1-5825-5343-6</t>
  </si>
  <si>
    <t>0-7817-5248-5</t>
  </si>
  <si>
    <t>01382714</t>
  </si>
  <si>
    <t>Breast MRI: A Case-Based Approach</t>
  </si>
  <si>
    <t>978-0-7817-4671-7</t>
  </si>
  <si>
    <t>Emergency Psychiatry: Principles and Practice</t>
  </si>
  <si>
    <t>01382860</t>
  </si>
  <si>
    <t>978-1-4511-7524-0</t>
  </si>
  <si>
    <t>Kaplan &amp; Sadock's Comprehensive Textbook of Psychiatry</t>
  </si>
  <si>
    <t>Nurse's Quick Check: Signs &amp; Symptoms</t>
  </si>
  <si>
    <t>1-5825-5668-7</t>
  </si>
  <si>
    <t>Atlas of Primary Care Procedures</t>
  </si>
  <si>
    <t>01382849</t>
  </si>
  <si>
    <t>978-0-7817-7917-3</t>
  </si>
  <si>
    <t>978-0-7817-9566-1</t>
  </si>
  <si>
    <t>01222972</t>
  </si>
  <si>
    <t>01256962</t>
  </si>
  <si>
    <t>0-7817-8494-8</t>
  </si>
  <si>
    <t>978-1-6083-1043-2</t>
  </si>
  <si>
    <t>1-6083-1622-X</t>
  </si>
  <si>
    <t>0-7817-6655-9</t>
  </si>
  <si>
    <t>01436876</t>
  </si>
  <si>
    <t>Medical Psychiatry: The Quick Reference</t>
  </si>
  <si>
    <t>01437565</t>
  </si>
  <si>
    <t>01429514</t>
  </si>
  <si>
    <t>Handbook of Stroke</t>
  </si>
  <si>
    <t>Magnetic Resonance Imaging of the Brain and Spine</t>
  </si>
  <si>
    <t>Nuclear Medicine Physics: The Basics</t>
  </si>
  <si>
    <t>978-0-7817-7093-4</t>
  </si>
  <si>
    <t>01429661</t>
  </si>
  <si>
    <t>0-7817-8939-7</t>
  </si>
  <si>
    <t>978-0-7817-4434-8</t>
  </si>
  <si>
    <t>Hospital Epidemiology and Infection Control</t>
  </si>
  <si>
    <t>978-1-4051-0507-1</t>
  </si>
  <si>
    <t>01412562</t>
  </si>
  <si>
    <t>01435752</t>
  </si>
  <si>
    <t>0-7817-6762-8</t>
  </si>
  <si>
    <t>01382683</t>
  </si>
  <si>
    <t>5-Minute Pediatric Consult, The</t>
  </si>
  <si>
    <t>Disease &amp; Drug Consult: Neurologic Disorders</t>
  </si>
  <si>
    <t>MANUAL OF NEPHROLOGY</t>
  </si>
  <si>
    <t>01382647</t>
  </si>
  <si>
    <t>0-7817-4797-X</t>
  </si>
  <si>
    <t>978-1-5825-5414-3</t>
  </si>
  <si>
    <t>978-0-7817-7490-1</t>
  </si>
  <si>
    <t>Head and Neck Surgical Pathology</t>
  </si>
  <si>
    <t>978-0-7817-5046-2</t>
  </si>
  <si>
    <t>1-4511-8655-X</t>
  </si>
  <si>
    <t>01429609</t>
  </si>
  <si>
    <t>0-7817-8436-0</t>
  </si>
  <si>
    <t>978-0-6830-7646-2</t>
  </si>
  <si>
    <t>Prove It! Evidence-Based Analysis Of Common Spine Practice</t>
  </si>
  <si>
    <t>978-1-5825-5449-5</t>
  </si>
  <si>
    <t>1-5825-5446-3</t>
  </si>
  <si>
    <t>Ask a Colleague: Expert Nurses Answer More Than 1,000 Complex Clinical Questions</t>
  </si>
  <si>
    <t>978-0-7817-5729-4</t>
  </si>
  <si>
    <t>01382483</t>
  </si>
  <si>
    <t>1-5825-5359-9</t>
  </si>
  <si>
    <t>01382764</t>
  </si>
  <si>
    <t>Child and Adolescent Psychiatry The Essentials</t>
  </si>
  <si>
    <t>0-7817-4509-8</t>
  </si>
  <si>
    <t>978-0-7817-7023-1</t>
  </si>
  <si>
    <t>01477809</t>
  </si>
  <si>
    <t>01382550</t>
  </si>
  <si>
    <t>0-7817-4753-8</t>
  </si>
  <si>
    <t>0-7817-7477-2</t>
  </si>
  <si>
    <t>Handbook of Epilepsy</t>
  </si>
  <si>
    <t>978-1-6091-3972-8</t>
  </si>
  <si>
    <t>Fundamentals of Diagnostic Radiology (In Four Volumes)</t>
  </si>
  <si>
    <t>978-0-7817-6655-5</t>
  </si>
  <si>
    <t>Khan's The Physics of Radiation Therapy</t>
  </si>
  <si>
    <t>0-7817-6518-8</t>
  </si>
  <si>
    <t>Handbook of Cancer Chemotherapy</t>
  </si>
  <si>
    <t>01260174</t>
  </si>
  <si>
    <t>0-7817-8847-1</t>
  </si>
  <si>
    <t>978-1-6083-1165-1</t>
  </si>
  <si>
    <t>00140050</t>
  </si>
  <si>
    <t>01429589</t>
  </si>
  <si>
    <t>0-7817-9558-3</t>
  </si>
  <si>
    <t>Master Techniques in Surgery: Hepatobiliary and Pancreatic Surgery</t>
  </si>
  <si>
    <t>978-0-7817-6645-6</t>
  </si>
  <si>
    <t>0-7817-6527-7</t>
  </si>
  <si>
    <t>01337531</t>
  </si>
  <si>
    <t>978-0-7817-5288-6</t>
  </si>
  <si>
    <t>1-5825-5282-7</t>
  </si>
  <si>
    <t>978-0-7817-9993-5</t>
  </si>
  <si>
    <t>00139923</t>
  </si>
  <si>
    <t>0-7817-6271-5</t>
  </si>
  <si>
    <t>01438430</t>
  </si>
  <si>
    <t>1-5825-5454-4</t>
  </si>
  <si>
    <t>01437403</t>
  </si>
  <si>
    <t>Washington Manual of Oncology, The</t>
  </si>
  <si>
    <t>01382421</t>
  </si>
  <si>
    <t>978-1-5825-5380-1</t>
  </si>
  <si>
    <t>978-0-7817-7996-8</t>
  </si>
  <si>
    <t>01437520</t>
  </si>
  <si>
    <t>01279720</t>
  </si>
  <si>
    <t>Surgical Techniques in Sports Medicine</t>
  </si>
  <si>
    <t>01720597</t>
  </si>
  <si>
    <t>01382538</t>
  </si>
  <si>
    <t>01438428</t>
  </si>
  <si>
    <t>978-1-5825-5290-3</t>
  </si>
  <si>
    <t>0-7817-5420-8</t>
  </si>
  <si>
    <t>Modern Colposcopy: Textbook &amp; Atlas</t>
  </si>
  <si>
    <t>978-1-5825-5280-4</t>
  </si>
  <si>
    <t>0-7817-4025-8</t>
  </si>
  <si>
    <t>1-4698-8704-5</t>
  </si>
  <si>
    <t>01222976</t>
  </si>
  <si>
    <t>01437506</t>
  </si>
  <si>
    <t>01382586</t>
  </si>
  <si>
    <t>1-5825-5448-X</t>
  </si>
  <si>
    <t>Atlas of Ultrasound in Obstetrics and Gynecology: A Multimedia Reference</t>
  </si>
  <si>
    <t>1-5825-5567-2</t>
  </si>
  <si>
    <t>0-7817-6763-6</t>
  </si>
  <si>
    <t>0-7817-9404-8</t>
  </si>
  <si>
    <t>01279763</t>
  </si>
  <si>
    <t>01439427</t>
  </si>
  <si>
    <t>Avoiding Common Nursing Errors</t>
  </si>
  <si>
    <t>978-1-4511-9394-7</t>
  </si>
  <si>
    <t>Cystic Fibrosis: A Guide for Patient and Family</t>
  </si>
  <si>
    <t>Genodermatoses: A Clinical Guide to Genetic Skin Disorders</t>
  </si>
  <si>
    <t>978-0-7817-7862-6</t>
  </si>
  <si>
    <t>0-7817-8781-5</t>
  </si>
  <si>
    <t>0-7817-4279-X</t>
  </si>
  <si>
    <t>01329157</t>
  </si>
  <si>
    <t>01856991</t>
  </si>
  <si>
    <t>1-5825-5468-4</t>
  </si>
  <si>
    <t>01382722</t>
  </si>
  <si>
    <t>978-0-7817-2857-7</t>
  </si>
  <si>
    <t>978-0-7817-7064-4</t>
  </si>
  <si>
    <t>0-7817-9469-2</t>
  </si>
  <si>
    <t>Fundamental Immunology</t>
  </si>
  <si>
    <t>0-7817-4130-0</t>
  </si>
  <si>
    <t>1-5825-5425-0</t>
  </si>
  <si>
    <t>978-1-5825-5143-2</t>
  </si>
  <si>
    <t>1-5825-5897-3</t>
  </si>
  <si>
    <t>978-0-7817-2893-5</t>
  </si>
  <si>
    <t>978-1-5825-5967-4</t>
  </si>
  <si>
    <t>01257008</t>
  </si>
  <si>
    <t>0-7817-8955-9</t>
  </si>
  <si>
    <t>978-1-4511-1424-9</t>
  </si>
  <si>
    <t>Assessment Made Incredibly Easy!</t>
  </si>
  <si>
    <t>978-0-7817-9971-3</t>
  </si>
  <si>
    <t>978-1-4511-0714-2</t>
  </si>
  <si>
    <t>Procedures, Techniques, and Minimally Invasive Monitoring in Intensive Care Medicine</t>
  </si>
  <si>
    <t>01256987</t>
  </si>
  <si>
    <t>MRMS-PB-E06</t>
  </si>
  <si>
    <t>1-4511-4419-9</t>
  </si>
  <si>
    <t>CT Urography: An Atlas</t>
  </si>
  <si>
    <t>Pediatric Cataract Surgery: Techniques, Complications, and Management</t>
  </si>
  <si>
    <t>Review of Radiologic Physics</t>
  </si>
  <si>
    <t>0-7817-8647-9</t>
  </si>
  <si>
    <t>1-4511-0959-8</t>
  </si>
  <si>
    <t>01412559</t>
  </si>
  <si>
    <t>0-7817-9379-3</t>
  </si>
  <si>
    <t>978-1-6054-7212-6</t>
  </si>
  <si>
    <t>01435760</t>
  </si>
  <si>
    <t>01337570</t>
  </si>
  <si>
    <t>1-6083-1778-1</t>
  </si>
  <si>
    <t>01223023</t>
  </si>
  <si>
    <t>978-0-7817-6369-1</t>
  </si>
  <si>
    <t>978-0-7817-3755-5</t>
  </si>
  <si>
    <t>Atlas of Infectious Diseases of the Female Genital Tract</t>
  </si>
  <si>
    <t>0-7817-9566-4</t>
  </si>
  <si>
    <t>Acid Related Diseases: Biology and Treatment</t>
  </si>
  <si>
    <t>01745942</t>
  </si>
  <si>
    <t>01382858</t>
  </si>
  <si>
    <t>978-1-4511-7357-4</t>
  </si>
  <si>
    <t>01382718</t>
  </si>
  <si>
    <t>01438861</t>
  </si>
  <si>
    <t>0-7817-5929-3</t>
  </si>
  <si>
    <t>01376499</t>
  </si>
  <si>
    <t>978-0-7817-6044-7</t>
  </si>
  <si>
    <t>978-0-7817-4383-9</t>
  </si>
  <si>
    <t>978-1-6083-1466-9</t>
  </si>
  <si>
    <t>01382673</t>
  </si>
  <si>
    <t>00149809</t>
  </si>
  <si>
    <t>01382663</t>
  </si>
  <si>
    <t>0-7817-5170-5</t>
  </si>
  <si>
    <t>01382649</t>
  </si>
  <si>
    <t>978-1-4511-8789-2</t>
  </si>
  <si>
    <t>0-7817-5129-2</t>
  </si>
  <si>
    <t>Essential Dermatopathology</t>
  </si>
  <si>
    <t>01437410</t>
  </si>
  <si>
    <t>0-7817-8338-0</t>
  </si>
  <si>
    <t>Genital Dermatology Atlas</t>
  </si>
  <si>
    <t>01382557</t>
  </si>
  <si>
    <t>Cervical Spine, The</t>
  </si>
  <si>
    <t>Pathophysiology Made Incredibly Easy!</t>
  </si>
  <si>
    <t>978-0-7817-7294-5</t>
  </si>
  <si>
    <t>1-4511-9102-2</t>
  </si>
  <si>
    <t>01222983</t>
  </si>
  <si>
    <t>Essential Emergency Procedures</t>
  </si>
  <si>
    <t>978-0-7817-6845-0</t>
  </si>
  <si>
    <t>Handbook of Gastroenterologic Procedures</t>
  </si>
  <si>
    <t>Orthopedic Imaging: A Practical Approach</t>
  </si>
  <si>
    <t>01807322</t>
  </si>
  <si>
    <t>0-6833-0792-4</t>
  </si>
  <si>
    <t>978-0-7817-4279-5</t>
  </si>
  <si>
    <t>01382816</t>
  </si>
  <si>
    <t>01257026</t>
  </si>
  <si>
    <t>Straight A's in Anatomy and Physiology</t>
  </si>
  <si>
    <t>978-0-7817-8436-8</t>
  </si>
  <si>
    <t>0-7817-8938-9</t>
  </si>
  <si>
    <t>978-0-7817-6271-7</t>
  </si>
  <si>
    <t>0-8743-4943-5</t>
  </si>
  <si>
    <t>1-5825-5946-5</t>
  </si>
  <si>
    <t>Diseases: A Nursing Process Approach to Excellent Care</t>
  </si>
  <si>
    <t>0-7817-6368-1</t>
  </si>
  <si>
    <t>01279751</t>
  </si>
  <si>
    <t>1-5825-5562-1</t>
  </si>
  <si>
    <t>978-1-5825-5694-9</t>
  </si>
  <si>
    <t>978-0-7817-7205-1</t>
  </si>
  <si>
    <t>978-0-7817-6068-3</t>
  </si>
  <si>
    <t>0-7817-7848-4</t>
  </si>
  <si>
    <t>978-0-7817-6985-3</t>
  </si>
  <si>
    <t>0-3975-1727-0</t>
  </si>
  <si>
    <t>Master Techniques in Orthopaedic Surgery: Relevant Surgical Exposures</t>
  </si>
  <si>
    <t>01279756</t>
  </si>
  <si>
    <t>978-1-6054-7577-6</t>
  </si>
  <si>
    <t>Washington Manual of Echocardiography, The</t>
  </si>
  <si>
    <t>978-1-5825-5222-4</t>
  </si>
  <si>
    <t>0-7817-6957-4</t>
  </si>
  <si>
    <t>978-0-7817-6224-3</t>
  </si>
  <si>
    <t>0-7817-6515-3</t>
  </si>
  <si>
    <t>Principles of Inpatient Psychiatry</t>
  </si>
  <si>
    <t>Spondylolysis, Spondylolisthesis, and Degenerative Spondylolisthesis</t>
  </si>
  <si>
    <t>01382426</t>
  </si>
  <si>
    <t>978-0-7817-6343-1</t>
  </si>
  <si>
    <t>Yao &amp; Artusio's Anesthesiology: Problem-Oriented Patient Management</t>
  </si>
  <si>
    <t>Atlas of Neonatal Electroencephalography</t>
  </si>
  <si>
    <t>978-1-4511-1825-4</t>
  </si>
  <si>
    <t>0-7817-6899-3</t>
  </si>
  <si>
    <t>01382516</t>
  </si>
  <si>
    <t>Diabetes Mellitus: A Fundamental and Clinical Text</t>
  </si>
  <si>
    <t>Imaging of Orthopedic Fixation Devices and Prostheses</t>
  </si>
  <si>
    <t>Manual of Cardiovascular Medicine</t>
  </si>
  <si>
    <t>01382501</t>
  </si>
  <si>
    <t>978-0-7817-9377-3</t>
  </si>
  <si>
    <t>978-0-7817-2652-8</t>
  </si>
  <si>
    <t>Medical-Surgical Care Planning</t>
  </si>
  <si>
    <t>978-1-5825-5897-4</t>
  </si>
  <si>
    <t>RN Expert Guides: Cardiovascular Care</t>
  </si>
  <si>
    <t>0-7817-5262-0</t>
  </si>
  <si>
    <t>0-7817-8746-7</t>
  </si>
  <si>
    <t>0-7817-8275-9</t>
  </si>
  <si>
    <t>978-1-5825-5416-7</t>
  </si>
  <si>
    <t>01382772</t>
  </si>
  <si>
    <t>978-1-6054-7252-2</t>
  </si>
  <si>
    <t>Surgical Exposures in Orthopaedics: The Anatomic Approach</t>
  </si>
  <si>
    <t>Essential Cancer Pharmacology: The Prescriber's Guide</t>
  </si>
  <si>
    <t>00139934</t>
  </si>
  <si>
    <t>978-1-4511-4633-2</t>
  </si>
  <si>
    <t>978-0-7817-8303-3</t>
  </si>
  <si>
    <t>Clinical Echocardiography Review: A Self-Assessment Tool</t>
  </si>
  <si>
    <t>1-5825-5661-X</t>
  </si>
  <si>
    <t>01382694</t>
  </si>
  <si>
    <t>978-0-7817-6165-9</t>
  </si>
  <si>
    <t>0-7817-8763-7</t>
  </si>
  <si>
    <t>978-0-7817-6512-1</t>
  </si>
  <si>
    <t>Assessment: An Incredibly Easy! Pocket Guide</t>
  </si>
  <si>
    <t>978-1-6083-1904-6</t>
  </si>
  <si>
    <t>0-7817-3576-9</t>
  </si>
  <si>
    <t>01382737</t>
  </si>
  <si>
    <t>0-7817-9992-9</t>
  </si>
  <si>
    <t>978-0-7817-6529-9</t>
  </si>
  <si>
    <t>978-1-5825-5514-0</t>
  </si>
  <si>
    <t>1-5825-5615-6</t>
  </si>
  <si>
    <t>01337291</t>
  </si>
  <si>
    <t>0-7817-9821-3</t>
  </si>
  <si>
    <t>00139868</t>
  </si>
  <si>
    <t>0-7817-9559-1</t>
  </si>
  <si>
    <t>1-5825-5702-0</t>
  </si>
  <si>
    <t>Manual of Allergy &amp; Immunology</t>
  </si>
  <si>
    <t>978-0-7817-8845-8</t>
  </si>
  <si>
    <t>01382712</t>
  </si>
  <si>
    <t>01626591</t>
  </si>
  <si>
    <t>01382440</t>
  </si>
  <si>
    <t>978-1-6083-1706-6</t>
  </si>
  <si>
    <t>1-6054-7389-8</t>
  </si>
  <si>
    <t>978-1-6091-3236-1</t>
  </si>
  <si>
    <t>01438872</t>
  </si>
  <si>
    <t>978-1-4511-4624-0</t>
  </si>
  <si>
    <t>0-7817-5499-2</t>
  </si>
  <si>
    <t>1-4511-8789-0</t>
  </si>
  <si>
    <t>978-1-5825-5184-5</t>
  </si>
  <si>
    <t>978-0-7817-6777-4</t>
  </si>
  <si>
    <t>978-0-7817-3235-2</t>
  </si>
  <si>
    <t>978-0-7817-6750-7</t>
  </si>
  <si>
    <t>978-0-7817-4650-2</t>
  </si>
  <si>
    <t>978-0-7817-3247-5</t>
  </si>
  <si>
    <t>1-4511-1560-1</t>
  </si>
  <si>
    <t>01256973</t>
  </si>
  <si>
    <t>0-7817-6093-3</t>
  </si>
  <si>
    <t>01437510</t>
  </si>
  <si>
    <t>Critical Care Medicine: The Essentials</t>
  </si>
  <si>
    <t>01412555</t>
  </si>
  <si>
    <t>0-7817-1683-7</t>
  </si>
  <si>
    <t>0-7817-9638-5</t>
  </si>
  <si>
    <t>Practical Essentials of Intensity Modulated Radiation Therapy</t>
  </si>
  <si>
    <t>978-0-7817-8779-6</t>
  </si>
  <si>
    <t>01376498</t>
  </si>
  <si>
    <t>01434791</t>
  </si>
  <si>
    <t>978-1-5825-5556-0</t>
  </si>
  <si>
    <t>01437515</t>
  </si>
  <si>
    <t>01337650</t>
  </si>
  <si>
    <t>Maternal-Neonatal Nursing in a Flash</t>
  </si>
  <si>
    <t>01429642</t>
  </si>
  <si>
    <t>978-0-7817-5261-9</t>
  </si>
  <si>
    <t>Digital Mammography</t>
  </si>
  <si>
    <t>978-0-7817-7397-3</t>
  </si>
  <si>
    <t>Surgical Attending Rounds</t>
  </si>
  <si>
    <t>1-6083-1269-0</t>
  </si>
  <si>
    <t>0-7817-6873-X</t>
  </si>
  <si>
    <t>Cancer Principles &amp; Practice of Oncology: Primer of the Molecular Biology of Cancer</t>
  </si>
  <si>
    <t>01434964</t>
  </si>
  <si>
    <t>1-6054-7333-2</t>
  </si>
  <si>
    <t>0-7817-6985-X</t>
  </si>
  <si>
    <t>0-7817-1908-9</t>
  </si>
  <si>
    <t>978-1-5825-5558-4</t>
  </si>
  <si>
    <t>0-7817-7881-6</t>
  </si>
  <si>
    <t>978-0-7817-4634-2</t>
  </si>
  <si>
    <t>Oncology and Basic Science</t>
  </si>
  <si>
    <t>Straight A's in Pathophysiology</t>
  </si>
  <si>
    <t>01872914</t>
  </si>
  <si>
    <t>0-7817-8402-6</t>
  </si>
  <si>
    <t>01437539</t>
  </si>
  <si>
    <t>1-5825-5272-X</t>
  </si>
  <si>
    <t>0-7817-4081-9</t>
  </si>
  <si>
    <t>01641775</t>
  </si>
  <si>
    <t>0-7817-5942-0</t>
  </si>
  <si>
    <t>Myoclonic Epilepsies: Advances in Neurology</t>
  </si>
  <si>
    <t>978-0-7817-3196-6</t>
  </si>
  <si>
    <t>01745908</t>
  </si>
  <si>
    <t>01257037</t>
  </si>
  <si>
    <t>0-7817-4748-1</t>
  </si>
  <si>
    <t>978-0-7817-6385-1</t>
  </si>
  <si>
    <t>1-6054-7732-X</t>
  </si>
  <si>
    <t>01241478</t>
  </si>
  <si>
    <t>978-0-7817-8408-5</t>
  </si>
  <si>
    <t>01435762</t>
  </si>
  <si>
    <t>Neurology for the Non-Neurologist</t>
  </si>
  <si>
    <t>0-7817-7524-8</t>
  </si>
  <si>
    <t>0-7817-4865-8</t>
  </si>
  <si>
    <t>0-7817-3445-2</t>
  </si>
  <si>
    <t>01429588</t>
  </si>
  <si>
    <t>978-0-7817-7489-5</t>
  </si>
  <si>
    <t>0-7817-8483-2</t>
  </si>
  <si>
    <t>978-0-7817-4692-2</t>
  </si>
  <si>
    <t>0-7817-2008-7</t>
  </si>
  <si>
    <t>01382546</t>
  </si>
  <si>
    <t>0-7817-3595-5</t>
  </si>
  <si>
    <t>1-4963-3851-0</t>
  </si>
  <si>
    <t>01745949</t>
  </si>
  <si>
    <t>5-Minute Clinical Consult, The</t>
  </si>
  <si>
    <t>Clinical Gynecologic Endocrinology and Infertility</t>
  </si>
  <si>
    <t>Rheumatoid Arthritis</t>
  </si>
  <si>
    <t>5-Minute Neurology Consult, The</t>
  </si>
  <si>
    <t>978-0-7817-1590-4</t>
  </si>
  <si>
    <t>978-1-4511-0154-6</t>
  </si>
  <si>
    <t>978-0-7817-3939-9</t>
  </si>
  <si>
    <t>01429624</t>
  </si>
  <si>
    <t>Ocular Applications of Fugo Blade</t>
  </si>
  <si>
    <t>0-7817-8690-8</t>
  </si>
  <si>
    <t>978-0-7817-5209-1</t>
  </si>
  <si>
    <t>01382449</t>
  </si>
  <si>
    <t>01382667</t>
  </si>
  <si>
    <t>01438855</t>
  </si>
  <si>
    <t>0-7817-4586-1</t>
  </si>
  <si>
    <t>01257013</t>
  </si>
  <si>
    <t>Principles and Practice of Lung Cancer: The Official Reference Text of The IASLC</t>
  </si>
  <si>
    <t>978-1-4963-0863-4</t>
  </si>
  <si>
    <t>978-1-4511-1648-9</t>
  </si>
  <si>
    <t>01720600</t>
  </si>
  <si>
    <t>978-1-6054-7277-5</t>
  </si>
  <si>
    <t>978-0-7817-2890-4</t>
  </si>
  <si>
    <t>01439426</t>
  </si>
  <si>
    <t>01437579</t>
  </si>
  <si>
    <t>01253102</t>
  </si>
  <si>
    <t>Manual of Pediatric Therapeutics</t>
  </si>
  <si>
    <t>Cognitive Behavioral Therapy for Clinicians: Psychotherapy in Clinical Practice</t>
  </si>
  <si>
    <t>978-0-7817-9819-8</t>
  </si>
  <si>
    <t>978-0-7817-4742-4</t>
  </si>
  <si>
    <t>01429531</t>
  </si>
  <si>
    <t>01382536</t>
  </si>
  <si>
    <t>01382719</t>
  </si>
  <si>
    <t>1-4511-4263-3</t>
  </si>
  <si>
    <t>01222980</t>
  </si>
  <si>
    <t>01382412</t>
  </si>
  <si>
    <t>978-0-7817-5653-2</t>
  </si>
  <si>
    <t>978-1-4511-1594-9</t>
  </si>
  <si>
    <t>01745913</t>
  </si>
  <si>
    <t>CCME-PB-E04</t>
  </si>
  <si>
    <t>1-6054-7212-3</t>
  </si>
  <si>
    <t>978-1-6083-1708-0</t>
  </si>
  <si>
    <t>1-4511-4380-X</t>
  </si>
  <si>
    <t>01279752</t>
  </si>
  <si>
    <t>978-0-7817-9584-5</t>
  </si>
  <si>
    <t>Principles of Exercise Testing and Interpretation: Including Pathophysiology and Clinical Applications</t>
  </si>
  <si>
    <t>0-7817-5584-0</t>
  </si>
  <si>
    <t>978-1-6083-1275-7</t>
  </si>
  <si>
    <t>Complications of Cardiovascular Procedures: Risk Factors, Management, and Bailout Techniques</t>
  </si>
  <si>
    <t>0-7817-4437-7</t>
  </si>
  <si>
    <t>Gastrointestinal Pathology: An Atlas and Text</t>
  </si>
  <si>
    <t>01257022</t>
  </si>
  <si>
    <t>0-7817-3633-1</t>
  </si>
  <si>
    <t>0-7817-7459-4</t>
  </si>
  <si>
    <t>01382710</t>
  </si>
  <si>
    <t>0-7817-7793-3</t>
  </si>
  <si>
    <t>01435751</t>
  </si>
  <si>
    <t>Lippincott's Cancer Chemotherapy Handbook</t>
  </si>
  <si>
    <t>Integrating Psychological and Biological Therapies: Psychotherapy in Clinical Practice Series</t>
  </si>
  <si>
    <t>00139939</t>
  </si>
  <si>
    <t>Manual of Dermatologic Therapeutics</t>
  </si>
  <si>
    <t>Stocker &amp; Dehner's Pediatric Pathology</t>
  </si>
  <si>
    <t>01382585</t>
  </si>
  <si>
    <t>Occupational Musculoskeletal Disorders</t>
  </si>
  <si>
    <t>16th_Edition</t>
  </si>
  <si>
    <t>1-6083-1284-4</t>
  </si>
  <si>
    <t>978-1-5825-5938-4</t>
  </si>
  <si>
    <t>1-4511-1301-3</t>
  </si>
  <si>
    <t>01382643</t>
  </si>
  <si>
    <t>01279736</t>
  </si>
  <si>
    <t>1-6091-3337-4</t>
  </si>
  <si>
    <t>01279743</t>
  </si>
  <si>
    <t>01382591</t>
  </si>
  <si>
    <t>Pediatric Primary Care: Well-Child Care</t>
  </si>
  <si>
    <t>978-1-5825-5447-1</t>
  </si>
  <si>
    <t>0-7817-8688-6</t>
  </si>
  <si>
    <t>01382644</t>
  </si>
  <si>
    <t>0-7817-6044-5</t>
  </si>
  <si>
    <t>978-1-4511-7634-6</t>
  </si>
  <si>
    <t>Nursing 2013 Drug Handbook</t>
  </si>
  <si>
    <t>978-0-7817-8210-4</t>
  </si>
  <si>
    <t>978-1-4511-1553-6</t>
  </si>
  <si>
    <t>01382730</t>
  </si>
  <si>
    <t>01434796</t>
  </si>
  <si>
    <t>Atlas of Transnasal Esophagoscopy</t>
  </si>
  <si>
    <t>1-6054-7246-8</t>
  </si>
  <si>
    <t>Practical Guide for Clinical Neurophysiologic Testing: EP, LTM, IOM, PSG, and NCS</t>
  </si>
  <si>
    <t>01439423</t>
  </si>
  <si>
    <t>978-1-6054-7431-1</t>
  </si>
  <si>
    <t>978-1-4511-0918-4</t>
  </si>
  <si>
    <t>0-7817-7198-6</t>
  </si>
  <si>
    <t>01412541</t>
  </si>
  <si>
    <t>978-1-5825-5713-7</t>
  </si>
  <si>
    <t>01279750</t>
  </si>
  <si>
    <t>978-0-7817-7912-8</t>
  </si>
  <si>
    <t>Breast Imaging Companion</t>
  </si>
  <si>
    <t>01382571</t>
  </si>
  <si>
    <t>01382789</t>
  </si>
  <si>
    <t>0-7817-7623-6</t>
  </si>
  <si>
    <t>1-6054-7049-X</t>
  </si>
  <si>
    <t>1-5825-5558-3</t>
  </si>
  <si>
    <t>0-7817-4817-8</t>
  </si>
  <si>
    <t>978-0-7817-6552-7</t>
  </si>
  <si>
    <t>01257002</t>
  </si>
  <si>
    <t>01279713</t>
  </si>
  <si>
    <t>978-0-7817-5564-1</t>
  </si>
  <si>
    <t>Practice of Pediatric Orthopedics</t>
  </si>
  <si>
    <t>Shoulder Arthroscopy</t>
  </si>
  <si>
    <t>01437572</t>
  </si>
  <si>
    <t>Operative Techniques in Shoulder and Elbow Surgery</t>
  </si>
  <si>
    <t>Virtual Colonoscopy</t>
  </si>
  <si>
    <t>01429533</t>
  </si>
  <si>
    <t>1-4511-1433-8</t>
  </si>
  <si>
    <t>978-0-7817-7198-6</t>
  </si>
  <si>
    <t>01437509</t>
  </si>
  <si>
    <t>0-7817-9839-6</t>
  </si>
  <si>
    <t>Lippincott's Primary Care Musculoskeletal Radiology</t>
  </si>
  <si>
    <t>Patient Safety in Emergency Medicine</t>
  </si>
  <si>
    <t>01382587</t>
  </si>
  <si>
    <t>0-7817-7096-3</t>
  </si>
  <si>
    <t>01382826</t>
  </si>
  <si>
    <t>1-4511-1639-X</t>
  </si>
  <si>
    <t>0-7817-5048-2</t>
  </si>
  <si>
    <t>0-7817-7845-X</t>
  </si>
  <si>
    <t>Renal and Electrolyte Disorders</t>
  </si>
  <si>
    <t>01762464</t>
  </si>
  <si>
    <t>01382803</t>
  </si>
  <si>
    <t>978-0-7817-4186-6</t>
  </si>
  <si>
    <t>978-1-6054-7554-7</t>
  </si>
  <si>
    <t>Wound Care Essentials: Practice Principles</t>
  </si>
  <si>
    <t>978-0-7817-4080-7</t>
  </si>
  <si>
    <t>Sports Medicine Consult: A Problem-Based Approach to Sports Medicine for the Primary Care Physician</t>
  </si>
  <si>
    <t>978-0-7817-7942-5</t>
  </si>
  <si>
    <t>Trauma Rehabilitation</t>
  </si>
  <si>
    <t>0-7817-7739-9</t>
  </si>
  <si>
    <t>01437578</t>
  </si>
  <si>
    <t>01257006</t>
  </si>
  <si>
    <t>LWW Classic Book Collection - 2019 Revised</t>
  </si>
  <si>
    <t>01382437</t>
  </si>
  <si>
    <t>01382863</t>
  </si>
  <si>
    <t>0-7817-2874-6</t>
  </si>
  <si>
    <t>978-1-5825-5903-2</t>
  </si>
  <si>
    <t>Nursing Know-How: Evaluating Heart &amp; Breath Sounds</t>
  </si>
  <si>
    <t>Health Promotion and Disease Prevention in Clinical Practice</t>
  </si>
  <si>
    <t>Principles and Practice of Gynecologic Oncology</t>
  </si>
  <si>
    <t>Master Techniques in Orthopaedic Surgery: Soft Tissue Surgery</t>
  </si>
  <si>
    <t>1-5825-5462-5</t>
  </si>
  <si>
    <t>01382653</t>
  </si>
  <si>
    <t>978-0-7817-5942-7</t>
  </si>
  <si>
    <t>978-1-6083-1340-2</t>
  </si>
  <si>
    <t>01438852</t>
  </si>
  <si>
    <t>DeJong's: The Neurologic Examination</t>
  </si>
  <si>
    <t>978-0-7817-6873-3</t>
  </si>
  <si>
    <t>978-1-5825-5923-0</t>
  </si>
  <si>
    <t>1-5825-5895-7</t>
  </si>
  <si>
    <t>01437562</t>
  </si>
  <si>
    <t>01735124</t>
  </si>
  <si>
    <t>0-7817-5950-1</t>
  </si>
  <si>
    <t>Prod Code</t>
  </si>
  <si>
    <t>978-0-7817-6909-9</t>
  </si>
  <si>
    <t>01273127</t>
  </si>
  <si>
    <t>01337526</t>
  </si>
  <si>
    <t>0-7817-6284-7</t>
  </si>
  <si>
    <t>Aesthetics and Cosmetic Surgery for Darker Skin Types</t>
  </si>
  <si>
    <t>978-1-5825-5587-4</t>
  </si>
  <si>
    <t>1-4511-0339-5</t>
  </si>
  <si>
    <t>978-0-7817-5290-9</t>
  </si>
  <si>
    <t>Colon and Rectal Surgery</t>
  </si>
  <si>
    <t>00140009</t>
  </si>
  <si>
    <t>978-0-7817-7194-8</t>
  </si>
  <si>
    <t>01382693</t>
  </si>
  <si>
    <t>0-7817-5627-8</t>
  </si>
  <si>
    <t>0-7817-6399-1</t>
  </si>
  <si>
    <t>Imaging of the Airways: Functional and Radiologic Correlations</t>
  </si>
  <si>
    <t>978-1-6054-7134-1</t>
  </si>
  <si>
    <t>1-4511-8245-7</t>
  </si>
  <si>
    <t>Principles and Practice of Endocrinology &amp; Metabolism</t>
  </si>
  <si>
    <t>1-4511-1175-4</t>
  </si>
  <si>
    <t>0-7817-7727-5</t>
  </si>
  <si>
    <t>01857028</t>
  </si>
  <si>
    <t>1-6054-7668-4</t>
  </si>
  <si>
    <t>01438888</t>
  </si>
  <si>
    <t>0-7817-5551-4</t>
  </si>
  <si>
    <t>978-1-6054-7077-1</t>
  </si>
  <si>
    <t>Brachytherapy: Applications and Technique</t>
  </si>
  <si>
    <t>978-0-7817-6383-7</t>
  </si>
  <si>
    <t>0-6833-0723-1</t>
  </si>
  <si>
    <t>00139907</t>
  </si>
  <si>
    <t>978-0-7817-7793-3</t>
  </si>
  <si>
    <t>American Heart Association (Format, Design and Index is copyrighted by Lippincott Williams &amp; Wilkins)</t>
  </si>
  <si>
    <t>978-1-6054-7471-7</t>
  </si>
  <si>
    <t>00139985</t>
  </si>
  <si>
    <t>0-7817-7242-7</t>
  </si>
  <si>
    <t>Biopsy Interpretation: The Frozen Section</t>
  </si>
  <si>
    <t>978-0-7817-1487-7</t>
  </si>
  <si>
    <t>Operative Anatomy</t>
  </si>
  <si>
    <t>0-7817-6196-4</t>
  </si>
  <si>
    <t>01279714</t>
  </si>
  <si>
    <t>978-0-7817-3916-0</t>
  </si>
  <si>
    <t>978-1-6054-7732-9</t>
  </si>
  <si>
    <t>1-4511-0255-0</t>
  </si>
  <si>
    <t>0-7817-7013-0</t>
  </si>
  <si>
    <t>Flow Cytometry and Immunohistochemistry for Hematologic Neoplasms</t>
  </si>
  <si>
    <t>Human Radiation Injury</t>
  </si>
  <si>
    <t>0-7817-9289-4</t>
  </si>
  <si>
    <t>00139966</t>
  </si>
  <si>
    <t>01279755</t>
  </si>
  <si>
    <t>0-7817-6816-0</t>
  </si>
  <si>
    <t>01437534</t>
  </si>
  <si>
    <t>0-7817-9952-X</t>
  </si>
  <si>
    <t>0-7817-9285-1</t>
  </si>
  <si>
    <t>Color Atlas &amp; Synopsis of Clinical Ophthalmology (Wills Eye Institute): Neuro-Ophthalmology</t>
  </si>
  <si>
    <t>0-7817-7406-3</t>
  </si>
  <si>
    <t>1-6083-1617-3</t>
  </si>
  <si>
    <t>Advances in Surgical Pathology: Lung Cancer</t>
  </si>
  <si>
    <t>Kaplan &amp; Sadock's Concise Textbook of Child and Adolescent Psychiatry</t>
  </si>
  <si>
    <t>Treating Child and Adolescent Depression</t>
  </si>
  <si>
    <t>0-7817-4802-X</t>
  </si>
  <si>
    <t>01382556</t>
  </si>
  <si>
    <t>978-0-7817-2874-4</t>
  </si>
  <si>
    <t>01382468</t>
  </si>
  <si>
    <t>1st_Edition</t>
  </si>
  <si>
    <t>01412549</t>
  </si>
  <si>
    <t>0-7817-6811-X</t>
  </si>
  <si>
    <t>978-1-5825-5435-8</t>
  </si>
  <si>
    <t>1-6083-1287-9</t>
  </si>
  <si>
    <t>01382645</t>
  </si>
  <si>
    <t>978-0-6833-0169-4</t>
  </si>
  <si>
    <t>Pocket Neurology</t>
  </si>
  <si>
    <t>Disparities in Psychiatric Care: Clinical and Cross-Cultural Perspectives</t>
  </si>
  <si>
    <t>01337295</t>
  </si>
  <si>
    <t>Pocket Manual of Differential Diagnosis, A</t>
  </si>
  <si>
    <t>01438884</t>
  </si>
  <si>
    <t>01435028</t>
  </si>
  <si>
    <t>5-Minute Sports Medicine Consult</t>
  </si>
  <si>
    <t>Goodheart's Same-Site Differential Diagnosis: A Rapid Method of Diagnosing and Treating Common Skin Disorders</t>
  </si>
  <si>
    <t>Guide to Clinical Preventive Services 2006, The: Recommendations of the U.S. Preventive Services Task Force</t>
  </si>
  <si>
    <t>1-4511-0941-5</t>
  </si>
  <si>
    <t>978-0-7817-8334-7</t>
  </si>
  <si>
    <t>978-1-6083-1753-0</t>
  </si>
  <si>
    <t>978-0-7817-6946-4</t>
  </si>
  <si>
    <t>0-7817-7143-9</t>
  </si>
  <si>
    <t>01437561</t>
  </si>
  <si>
    <t>978-0-7817-6215-1</t>
  </si>
  <si>
    <t>Practical Cardiovascular Pathology</t>
  </si>
  <si>
    <t>978-0-7817-5358-6</t>
  </si>
  <si>
    <t>Practical Approach to Regional Anesthesia, A</t>
  </si>
  <si>
    <t>Roger's Textbook of Pediatric Intensive Care</t>
  </si>
  <si>
    <t>1-6091-3620-9</t>
  </si>
  <si>
    <t>01429694</t>
  </si>
  <si>
    <t>978-0-7817-4436-2</t>
  </si>
  <si>
    <t>1-5825-5280-0</t>
  </si>
  <si>
    <t>0-7817-7888-3</t>
  </si>
  <si>
    <t>01435765</t>
  </si>
  <si>
    <t>978-1-4511-4266-2</t>
  </si>
  <si>
    <t>1-5825-5143-X</t>
  </si>
  <si>
    <t>1-5825-5701-2</t>
  </si>
  <si>
    <t>01276484</t>
  </si>
  <si>
    <t>01833077</t>
  </si>
  <si>
    <t>978-1-5825-5417-4</t>
  </si>
  <si>
    <t>978-0-7817-6670-8</t>
  </si>
  <si>
    <t>Age-Related Macular Degeneration: A Comprehensive Textbook</t>
  </si>
  <si>
    <t>Lippincott Nursing Procedures</t>
  </si>
  <si>
    <t>01382636</t>
  </si>
  <si>
    <t>01337505</t>
  </si>
  <si>
    <t>Designing Clinical Research</t>
  </si>
  <si>
    <t>01429597</t>
  </si>
  <si>
    <t>Principles and Practice of Pediatric Oncology</t>
  </si>
  <si>
    <t>978-0-7817-6424-7</t>
  </si>
  <si>
    <t>01257017</t>
  </si>
  <si>
    <t>978-0-7817-6227-4</t>
  </si>
  <si>
    <t>01223041</t>
  </si>
  <si>
    <t>Diseases of the Eye and Skin: A Color Atlas</t>
  </si>
  <si>
    <t>01382547</t>
  </si>
  <si>
    <t>1-5825-5907-4</t>
  </si>
  <si>
    <t>Master Techniques in Orthopaedic Surgery: The Elbow</t>
  </si>
  <si>
    <t>978-0-7817-5065-3</t>
  </si>
  <si>
    <t>1-5825-5281-9</t>
  </si>
  <si>
    <t>01382784</t>
  </si>
  <si>
    <t>Nursing Know-How: Interpreting ECGs</t>
  </si>
  <si>
    <t>978-0-7817-6058-4</t>
  </si>
  <si>
    <t>01626613</t>
  </si>
  <si>
    <t>Tourette Syndrome</t>
  </si>
  <si>
    <t>Medical Spanish Made Incredibly Quick!</t>
  </si>
  <si>
    <t>978-1-6083-1115-6</t>
  </si>
  <si>
    <t>0-7817-7329-6</t>
  </si>
  <si>
    <t>01382699</t>
  </si>
  <si>
    <t>0-7817-4658-2</t>
  </si>
  <si>
    <t>Core Curriculum, The: Cardiopulmonary Imaging</t>
  </si>
  <si>
    <t>01382415</t>
  </si>
  <si>
    <t>978-0-7817-5324-1</t>
  </si>
  <si>
    <t>1-4511-1656-X</t>
  </si>
  <si>
    <t>1-4511-7547-7</t>
  </si>
  <si>
    <t>00139867</t>
  </si>
  <si>
    <t>978-0-7817-6669-2</t>
  </si>
  <si>
    <t>978-1-6054-7052-8</t>
  </si>
  <si>
    <t>Osteoarthritis: Diagnosis and Medical/Surgical Management</t>
  </si>
  <si>
    <t>1-5825-5537-0</t>
  </si>
  <si>
    <t>978-1-5825-5395-5</t>
  </si>
  <si>
    <t>01429412</t>
  </si>
  <si>
    <t>Atlas of Vulvar Disease</t>
  </si>
  <si>
    <t>01271249</t>
  </si>
  <si>
    <t>978-1-6054-7595-0</t>
  </si>
  <si>
    <t>1-4511-9446-3</t>
  </si>
  <si>
    <t>Manual of Clinical Problems in Pediatrics</t>
  </si>
  <si>
    <t>01382605</t>
  </si>
  <si>
    <t>Psychosomatic Medicine</t>
  </si>
  <si>
    <t>DeVita, Hellman, and Rosenberg's Cancer: Principles &amp; Practice of Oncology Review</t>
  </si>
  <si>
    <t>978-0-7817-6241-0</t>
  </si>
  <si>
    <t>Practical Peripheral Vascular Intervention</t>
  </si>
  <si>
    <t>01382597</t>
  </si>
  <si>
    <t>1-4511-4410-5</t>
  </si>
  <si>
    <t>01337214</t>
  </si>
  <si>
    <t>01626614</t>
  </si>
  <si>
    <t>1-4511-8635-5</t>
  </si>
  <si>
    <t>01436969</t>
  </si>
  <si>
    <t>978-1-6054-7011-5</t>
  </si>
  <si>
    <t>01279718</t>
  </si>
  <si>
    <t>0-7817-9387-4</t>
  </si>
  <si>
    <t>978-1-4511-4491-8</t>
  </si>
  <si>
    <t>0-7817-3669-2</t>
  </si>
  <si>
    <t>01279735</t>
  </si>
  <si>
    <t>978-1-5825-5895-0</t>
  </si>
  <si>
    <t>1-5825-5167-7</t>
  </si>
  <si>
    <t>01429598</t>
  </si>
  <si>
    <t>Manual of Clinical Problems in Infectious Diseases</t>
  </si>
  <si>
    <t>01279712</t>
  </si>
  <si>
    <t>978-1-5825-5702-1</t>
  </si>
  <si>
    <t>01438874</t>
  </si>
  <si>
    <t>Surgical Care Made Incredibly Visual!</t>
  </si>
  <si>
    <t>01382529</t>
  </si>
  <si>
    <t>0-7817-6208-1</t>
  </si>
  <si>
    <t>0-7817-4986-7</t>
  </si>
  <si>
    <t>1-4963-5359-5</t>
  </si>
  <si>
    <t>01382880</t>
  </si>
  <si>
    <t>Portable Diagnostic Tests</t>
  </si>
  <si>
    <t>Radiotherapy for Head and Neck Cancers: Indications and Techniques</t>
  </si>
  <si>
    <t>Biopsy Interpretation of the Thyroid</t>
  </si>
  <si>
    <t>01762481</t>
  </si>
  <si>
    <t>978-1-5825-5831-8</t>
  </si>
  <si>
    <t>Washington Manual, The: Hematology and Oncology - Subspecialty Consult</t>
  </si>
  <si>
    <t>Clinical Practice of Neurological and Neurosurgical Nursing, The</t>
  </si>
  <si>
    <t>978-0-7817-6093-5</t>
  </si>
  <si>
    <t>01382473</t>
  </si>
  <si>
    <t>978-1-4511-9082-3</t>
  </si>
  <si>
    <t>Johnson's Practical Electromyography</t>
  </si>
  <si>
    <t>978-0-7817-4123-1</t>
  </si>
  <si>
    <t>978-0-7817-5092-9</t>
  </si>
  <si>
    <t>Neurological and Neurosurgical Intensive Care</t>
  </si>
  <si>
    <t>0-7817-9933-3</t>
  </si>
  <si>
    <t>978-0-7817-9838-9</t>
  </si>
  <si>
    <t>978-0-7817-6064-5</t>
  </si>
  <si>
    <t>Practical Neurology</t>
  </si>
  <si>
    <t>Vitreous Microsurgery</t>
  </si>
  <si>
    <t>Pediatric &amp; Adolescent Gynecology</t>
  </si>
  <si>
    <t>Radiology 101: The Basics and Fundamentals of Imaging</t>
  </si>
  <si>
    <t>978-1-4511-4393-5</t>
  </si>
  <si>
    <t>978-1-5825-5342-9</t>
  </si>
  <si>
    <t>Strandness's Duplex Scanning in Vascular Disorders</t>
  </si>
  <si>
    <t>978-1-4511-1679-3</t>
  </si>
  <si>
    <t>01437559</t>
  </si>
  <si>
    <t>Musculoskeletal Imaging Companion</t>
  </si>
  <si>
    <t>978-0-7817-8763-5</t>
  </si>
  <si>
    <t>0-7817-4576-4</t>
  </si>
  <si>
    <t>978-0-7817-3933-7</t>
  </si>
  <si>
    <t>0-7817-7397-0</t>
  </si>
  <si>
    <t>01382625</t>
  </si>
  <si>
    <t>0-7817-6942-6</t>
  </si>
  <si>
    <t>978-0-7817-4250-4</t>
  </si>
  <si>
    <t>Hand and Wrist</t>
  </si>
  <si>
    <t>Skillmaster's Wound Care</t>
  </si>
  <si>
    <t>978-1-6091-3650-5</t>
  </si>
  <si>
    <t>01382595</t>
  </si>
  <si>
    <t>978-0-7817-3281-9</t>
  </si>
  <si>
    <t>00139872</t>
  </si>
  <si>
    <t>Operative Techniques in Sports Medicine Surgery</t>
  </si>
  <si>
    <t>0-3975-8421-0</t>
  </si>
  <si>
    <t>978-0-7817-8867-0</t>
  </si>
  <si>
    <t>DeVita, Hellman, and Rosenberg's Cancer: Principles &amp; Practice of Oncology</t>
  </si>
  <si>
    <t>0-7817-9619-9</t>
  </si>
  <si>
    <t>01641768</t>
  </si>
  <si>
    <t>0-7817-3213-1</t>
  </si>
  <si>
    <t>978-0-7817-7520-5</t>
  </si>
  <si>
    <t>978-0-7817-5420-0</t>
  </si>
  <si>
    <t>0-7817-4795-3</t>
  </si>
  <si>
    <t>Green's Child and Adolescent Clinical Psychopharmacology</t>
  </si>
  <si>
    <t>978-0-7817-4771-4</t>
  </si>
  <si>
    <t>978-1-5825-5455-6</t>
  </si>
  <si>
    <t>01382806</t>
  </si>
  <si>
    <t>Nurse's 5-Minute Clinical Consult: Diagnostic Tests</t>
  </si>
  <si>
    <t>Atlas of Airway Management: Techniques and Tools</t>
  </si>
  <si>
    <t>978-0-7817-6242-7</t>
  </si>
  <si>
    <t>Hemostasis and Thrombosis: Basic Principles and Clinical Practice</t>
  </si>
  <si>
    <t>0-7817-6085-2</t>
  </si>
  <si>
    <t>Nursing 2018 Drug Handbook</t>
  </si>
  <si>
    <t>00140046</t>
  </si>
  <si>
    <t>01337998</t>
  </si>
  <si>
    <t>Macular Surgery</t>
  </si>
  <si>
    <t>01382481</t>
  </si>
  <si>
    <t>978-0-7817-7406-2</t>
  </si>
  <si>
    <t>01745970</t>
  </si>
  <si>
    <t>Chronic Disorders: An Incredibly Easy! Pocket Guide</t>
  </si>
  <si>
    <t>ElderCare Strategies, Expert Care Plans for the Older Adult</t>
  </si>
  <si>
    <t>Drug Facts Made Incredibly Quick!</t>
  </si>
  <si>
    <t>01439425</t>
  </si>
  <si>
    <t>0-7817-1659-4</t>
  </si>
  <si>
    <t>0-7817-5102-0</t>
  </si>
  <si>
    <t>01437536</t>
  </si>
  <si>
    <t>01838285</t>
  </si>
  <si>
    <t>978-0-7817-5766-9</t>
  </si>
  <si>
    <t>01382838</t>
  </si>
  <si>
    <t>0-7817-7011-4</t>
  </si>
  <si>
    <t>1-5825-5660-1</t>
  </si>
  <si>
    <t>978-0-7817-4750-9</t>
  </si>
  <si>
    <t>0-7817-6670-2</t>
  </si>
  <si>
    <t>0-7817-6777-6</t>
  </si>
  <si>
    <t>Pathology Exam Review</t>
  </si>
  <si>
    <t>1-5825-5510-9</t>
  </si>
  <si>
    <t>0-7817-6046-1</t>
  </si>
  <si>
    <t>0-7817-3590-4</t>
  </si>
  <si>
    <t>978-0-7817-7011-8</t>
  </si>
  <si>
    <t>Lippincott Manual of Nursing Practice Handbook</t>
  </si>
  <si>
    <t>978-1-6054-7460-1</t>
  </si>
  <si>
    <t>Assessment: An Incredibly Easy! Workout</t>
  </si>
  <si>
    <t>ASSH Manual of Hand Surgery</t>
  </si>
  <si>
    <t>0-7817-5944-7</t>
  </si>
  <si>
    <t>978-0-7817-5583-2</t>
  </si>
  <si>
    <t>978-0-7817-2828-7</t>
  </si>
  <si>
    <t>Headaches, The</t>
  </si>
  <si>
    <t>01435758</t>
  </si>
  <si>
    <t>01437554</t>
  </si>
  <si>
    <t>01257043</t>
  </si>
  <si>
    <t>00139933</t>
  </si>
  <si>
    <t>Physical Therapist's Clinical Companion</t>
  </si>
  <si>
    <t>01382815</t>
  </si>
  <si>
    <t>978-1-4511-4410-9</t>
  </si>
  <si>
    <t>18th_Edition</t>
  </si>
  <si>
    <t>01382566</t>
  </si>
  <si>
    <t>Assessment: A 2-in-1 Reference for Nurses</t>
  </si>
  <si>
    <t>0-7817-7861-1</t>
  </si>
  <si>
    <t>OfferedOn</t>
  </si>
  <si>
    <t>01382845</t>
  </si>
  <si>
    <t>Handbook of Inflammatory Bowel Disease</t>
  </si>
  <si>
    <t>01257042</t>
  </si>
  <si>
    <t>978-1-4511-1905-3</t>
  </si>
  <si>
    <t>1-5825-5395-5</t>
  </si>
  <si>
    <t>978-0-7817-6671-5</t>
  </si>
  <si>
    <t>01429607</t>
  </si>
  <si>
    <t>Basic and Bedside Electrocardiography</t>
  </si>
  <si>
    <t>Surgical Reconstruction of the Diabetic Foot and Ankle</t>
  </si>
  <si>
    <t>01787249</t>
  </si>
  <si>
    <t>978-0-7817-9310-0</t>
  </si>
  <si>
    <t>01279754</t>
  </si>
  <si>
    <t>0-7817-5169-1</t>
  </si>
  <si>
    <t>978-1-5825-5180-7</t>
  </si>
  <si>
    <t>0-7817-5313-9</t>
  </si>
  <si>
    <t>0-7817-7943-X</t>
  </si>
  <si>
    <t>0-7817-4983-2</t>
  </si>
  <si>
    <t>01376504</t>
  </si>
  <si>
    <t>Washington Manual of Surgery, The</t>
  </si>
  <si>
    <t>01279703</t>
  </si>
  <si>
    <t>Complications in Surgery</t>
  </si>
  <si>
    <t>Shoulder and the Overhead Athlete, The</t>
  </si>
  <si>
    <t>0-7817-6669-9</t>
  </si>
  <si>
    <t>Differential Diagnosis in Orthopaedic Oncology</t>
  </si>
  <si>
    <t>0-7817-6277-4</t>
  </si>
  <si>
    <t>Feigenbaum's Echocardiography</t>
  </si>
  <si>
    <t>0-7817-9751-9</t>
  </si>
  <si>
    <t>978-0-7817-8881-6</t>
  </si>
  <si>
    <t>01437541</t>
  </si>
  <si>
    <t>SkillMasters: Better Documentation</t>
  </si>
  <si>
    <t>978-0-7817-7012-5</t>
  </si>
  <si>
    <t>01867001</t>
  </si>
  <si>
    <t>00139980</t>
  </si>
  <si>
    <t>Psychiatry for the Boards</t>
  </si>
  <si>
    <t>0-7817-4995-6</t>
  </si>
  <si>
    <t>01435756</t>
  </si>
  <si>
    <t>ICU/ER Facts Made Incredibly Quick!</t>
  </si>
  <si>
    <t>Focus on Clinical Neurophysiology: Neurology Self-Assessment</t>
  </si>
  <si>
    <t>978-0-7817-5944-1</t>
  </si>
  <si>
    <t>1-6054-7974-8</t>
  </si>
  <si>
    <t>Lippincott's Nursing Drug Guide</t>
  </si>
  <si>
    <t>0-7817-6815-2</t>
  </si>
  <si>
    <t>Multidetector CT: Principles, Techniques, and Clinical Applications</t>
  </si>
  <si>
    <t>Clinical &amp; Experimental Hypnosis: In Medicine, Dentistry, and Psychology</t>
  </si>
  <si>
    <t>01382435</t>
  </si>
  <si>
    <t>01337660</t>
  </si>
  <si>
    <t>Anesthesia Technician &amp; Technologist's Manual, The: All You Need to Know for Study and Reference</t>
  </si>
  <si>
    <t>978-0-7817-4130-9</t>
  </si>
  <si>
    <t>0-7817-9757-8</t>
  </si>
  <si>
    <t>978-1-6091-3338-2</t>
  </si>
  <si>
    <t>1-4511-1303-X</t>
  </si>
  <si>
    <t>1-6054-7841-5</t>
  </si>
  <si>
    <t>01437569</t>
  </si>
  <si>
    <t>978-0-7817-7831-2</t>
  </si>
  <si>
    <t>0-7817-9394-7</t>
  </si>
  <si>
    <t>Fetal Heart Rate Monitoring</t>
  </si>
  <si>
    <t>Lippincott's Q&amp;A Certification Review: Emergency Nursing</t>
  </si>
  <si>
    <t>01257018</t>
  </si>
  <si>
    <t>00139969</t>
  </si>
  <si>
    <t>978-1-6054-7672-8</t>
  </si>
  <si>
    <t>0-7817-6045-3</t>
  </si>
  <si>
    <t>0-7817-8458-1</t>
  </si>
  <si>
    <t>Asam Essentials of Addiction Medicine, The</t>
  </si>
  <si>
    <t>01438895</t>
  </si>
  <si>
    <t>1-4511-1679-9</t>
  </si>
  <si>
    <t>978-1-5825-5338-2</t>
  </si>
  <si>
    <t>0-7817-3853-9</t>
  </si>
  <si>
    <t>Vertebral Tumors</t>
  </si>
  <si>
    <t>1-6054-7250-6</t>
  </si>
  <si>
    <t>20th_Edition</t>
  </si>
  <si>
    <t>978-1-6083-1288-7</t>
  </si>
  <si>
    <t>978-0-7817-7599-1</t>
  </si>
  <si>
    <t>0-7817-9606-7</t>
  </si>
  <si>
    <t>0-7817-9788-8</t>
  </si>
  <si>
    <t>Clinical Scenarios in Thoracic Surgery</t>
  </si>
  <si>
    <t>01382482</t>
  </si>
  <si>
    <t>01382512</t>
  </si>
  <si>
    <t>1-5825-5320-3</t>
  </si>
  <si>
    <t>1-6054-7052-X</t>
  </si>
  <si>
    <t>Treatment of Epilepsy, The</t>
  </si>
  <si>
    <t>1-5825-5629-6</t>
  </si>
  <si>
    <t>0-7817-7214-1</t>
  </si>
  <si>
    <t>01257012</t>
  </si>
  <si>
    <t>Physics of Radiation Therapy, The</t>
  </si>
  <si>
    <t>01439395</t>
  </si>
  <si>
    <t>978-0-7817-7596-0</t>
  </si>
  <si>
    <t>0-7817-2767-7</t>
  </si>
  <si>
    <t>1-4051-0505-4</t>
  </si>
  <si>
    <t>01787255</t>
  </si>
  <si>
    <t>0-7817-7891-3</t>
  </si>
  <si>
    <t>Advances in Surgical Pathology: Gastric Cancer</t>
  </si>
  <si>
    <t>1-5825-5684-9</t>
  </si>
  <si>
    <t>978-0-7817-7234-1</t>
  </si>
  <si>
    <t>978-0-7817-5170-4</t>
  </si>
  <si>
    <t>978-0-7817-8514-3</t>
  </si>
  <si>
    <t>1-6091-3943-7</t>
  </si>
  <si>
    <t>0-7817-7792-5</t>
  </si>
  <si>
    <t>Medical Spanish Made Incredibly Easy!</t>
  </si>
  <si>
    <t>Clinical Neurology: From the Classroom to the Exam Room</t>
  </si>
  <si>
    <t>01429608</t>
  </si>
  <si>
    <t>Washington Manual of Surgical Pathology, The</t>
  </si>
  <si>
    <t>00139929</t>
  </si>
  <si>
    <t>Health Assessment Made Incredibly Visual!</t>
  </si>
  <si>
    <t>01279757</t>
  </si>
  <si>
    <t>0-7817-9310-6</t>
  </si>
  <si>
    <t>0-6833-0169-1</t>
  </si>
  <si>
    <t>01812583</t>
  </si>
  <si>
    <t>01337530</t>
  </si>
  <si>
    <t>01382828</t>
  </si>
  <si>
    <t>978-0-7817-4576-5</t>
  </si>
  <si>
    <t>978-0-7817-6275-5</t>
  </si>
  <si>
    <t>0-7817-6909-4</t>
  </si>
  <si>
    <t>01265116</t>
  </si>
  <si>
    <t>978-0-7817-2008-3</t>
  </si>
  <si>
    <t>01745940</t>
  </si>
  <si>
    <t>01382873</t>
  </si>
  <si>
    <t>978-0-7817-9178-6</t>
  </si>
  <si>
    <t>978-0-7817-5335-7</t>
  </si>
  <si>
    <t>1-5825-5358-0</t>
  </si>
  <si>
    <t>Psychiatric Interview, The: Practical Guides in Psychiatry</t>
  </si>
  <si>
    <t>Wallach's Interpretation of Diagnostic Tests</t>
  </si>
  <si>
    <t>978-0-7817-4517-8</t>
  </si>
  <si>
    <t>10th_Edition</t>
  </si>
  <si>
    <t>1-6054-7236-0</t>
  </si>
  <si>
    <t>Clinical Anesthesia Procedures of the Massachusetts General Hospital</t>
  </si>
  <si>
    <t>978-1-6054-7264-5</t>
  </si>
  <si>
    <t>Hand Surgery</t>
  </si>
  <si>
    <t>978-0-7817-5563-4</t>
  </si>
  <si>
    <t>0-7817-5331-7</t>
  </si>
  <si>
    <t>978-1-6054-7776-3</t>
  </si>
  <si>
    <t>Critical Care Handbook of the Massachusetts General Hospital</t>
  </si>
  <si>
    <t>1-6054-7058-9</t>
  </si>
  <si>
    <t>Diabetes Mellitus: A Guide to Patient Care</t>
  </si>
  <si>
    <t>01382788</t>
  </si>
  <si>
    <t>0-7817-5821-1</t>
  </si>
  <si>
    <t>01434794</t>
  </si>
  <si>
    <t>0-7817-6876-4</t>
  </si>
  <si>
    <t>0-7817-4643-4</t>
  </si>
  <si>
    <t>978-1-5825-5266-8</t>
  </si>
  <si>
    <t>0-7817-5189-6</t>
  </si>
  <si>
    <t>01273169</t>
  </si>
  <si>
    <t>1-4511-1605-5</t>
  </si>
  <si>
    <t>01279748</t>
  </si>
  <si>
    <t>Lippincott Manual of Nursing Practice Pocket Guide: Pediatric Nursing</t>
  </si>
  <si>
    <t>01647994</t>
  </si>
  <si>
    <t>0-7817-3501-7</t>
  </si>
  <si>
    <t>0-7817-6154-9</t>
  </si>
  <si>
    <t>01382817</t>
  </si>
  <si>
    <t>978-1-5825-5821-9</t>
  </si>
  <si>
    <t>1-4511-7560-4</t>
  </si>
  <si>
    <t>01382498</t>
  </si>
  <si>
    <t>01436276</t>
  </si>
  <si>
    <t>Disease &amp; Drug Consult: Respiratory Disorders</t>
  </si>
  <si>
    <t>978-1-6054-7235-5</t>
  </si>
  <si>
    <t>978-1-6054-7677-3</t>
  </si>
  <si>
    <t>0-7817-6433-5</t>
  </si>
  <si>
    <t>Master Techniques in Orthopaedic Surgery: Pediatrics</t>
  </si>
  <si>
    <t>High-Dose Cancer Therapy: Pharmacology, Hematopoietins, Stem Cells</t>
  </si>
  <si>
    <t>01382748</t>
  </si>
  <si>
    <t>Professional Guide to Signs and Symptoms</t>
  </si>
  <si>
    <t>978-1-4511-1340-2</t>
  </si>
  <si>
    <t>978-1-4511-0339-7</t>
  </si>
  <si>
    <t>01382660</t>
  </si>
  <si>
    <t>978-0-7817-9933-1</t>
  </si>
  <si>
    <t>Chemotherapy Source Book, The</t>
  </si>
  <si>
    <t>978-1-6083-1269-6</t>
  </si>
  <si>
    <t>978-1-5825-5679-6</t>
  </si>
  <si>
    <t>0-7817-4050-9</t>
  </si>
  <si>
    <t>01437576</t>
  </si>
  <si>
    <t>Master Techniques in General Surgery: Breast Surgery</t>
  </si>
  <si>
    <t>1-5825-5349-1</t>
  </si>
  <si>
    <t>1-6083-1089-2</t>
  </si>
  <si>
    <t>Clinical Scenarios in Surgical Oncology</t>
  </si>
  <si>
    <t>978-0-7817-4298-6</t>
  </si>
  <si>
    <t>Anesthesia Review</t>
  </si>
  <si>
    <t>Pocketbook Manual of Hand and Upper Extremity Anatomy, A: Primus Manus</t>
  </si>
  <si>
    <t>0-7817-8517-0</t>
  </si>
  <si>
    <t>Wound Care: An Incredibly Visual! Pocket Guide</t>
  </si>
  <si>
    <t>2011_Edition</t>
  </si>
  <si>
    <t>978-1-4511-4460-4</t>
  </si>
  <si>
    <t>Resolving Ethical Dilemmas: A Guide for Clinicians</t>
  </si>
  <si>
    <t>978-0-7817-8620-1</t>
  </si>
  <si>
    <t>01256991</t>
  </si>
  <si>
    <t>0-7817-8824-2</t>
  </si>
  <si>
    <t>978-1-6054-7246-1</t>
  </si>
  <si>
    <t>01382506</t>
  </si>
  <si>
    <t>0-7817-5651-0</t>
  </si>
  <si>
    <t>0-7817-7209-5</t>
  </si>
  <si>
    <t>978-0-7817-2823-2</t>
  </si>
  <si>
    <t>Kaplan &amp; Sadock's Synopsis of Psychiatry: Behavioral Sciences/Clinical Psychiatry</t>
  </si>
  <si>
    <t>Peripheral Vascular Sonography A Practical Guide</t>
  </si>
  <si>
    <t>0-7817-1750-7</t>
  </si>
  <si>
    <t>01382526</t>
  </si>
  <si>
    <t>01429600</t>
  </si>
  <si>
    <t>978-1-4698-8704-3</t>
  </si>
  <si>
    <t>1-4511-2769-3</t>
  </si>
  <si>
    <t>0-7817-9444-7</t>
  </si>
  <si>
    <t>0-7817-6868-3</t>
  </si>
  <si>
    <t>01437537</t>
  </si>
  <si>
    <t>1-4511-8758-0</t>
  </si>
  <si>
    <t>978-0-7817-6262-5</t>
  </si>
  <si>
    <t>LPN Expert Guides: ECG Interpretation</t>
  </si>
  <si>
    <t>Clinical Autonomic Disorders</t>
  </si>
  <si>
    <t>978-0-7817-5903-8</t>
  </si>
  <si>
    <t>978-0-7817-1788-5</t>
  </si>
  <si>
    <t>01279717</t>
  </si>
  <si>
    <t>01337567</t>
  </si>
  <si>
    <t>Practical Guide for Clinical Neurophysiologic Testing  EEG</t>
  </si>
  <si>
    <t>Zuckerman Parker Handbook of Developmental and Behavioral Pediatrics for Primary Care, The</t>
  </si>
  <si>
    <t>Head and Neck Cancer: A Multidisciplinary Approach</t>
  </si>
  <si>
    <t>01429408</t>
  </si>
  <si>
    <t>978-0-7817-8742-0</t>
  </si>
  <si>
    <t>978-1-4511-0938-2</t>
  </si>
  <si>
    <t>978-1-5825-5415-0</t>
  </si>
  <si>
    <t>Substance Abuse Handbook, The</t>
  </si>
  <si>
    <t>Cancer Pain: Assessment, Diagnosis, and Management</t>
  </si>
  <si>
    <t>1-5825-5707-1</t>
  </si>
  <si>
    <t>Sidney Kimmel Comprehensive Cancer Center at Johns Hopkins, The: Manual of Cancer Nursing</t>
  </si>
  <si>
    <t>1-6054-7976-4</t>
  </si>
  <si>
    <t>01648003</t>
  </si>
  <si>
    <t>Clinical Guide to Pediatric Weight Management and Obesity, A</t>
  </si>
  <si>
    <t>Color Atlas of Oculoplastic Surgery</t>
  </si>
  <si>
    <t>1-4963-4313-1</t>
  </si>
  <si>
    <t>Lippincott's Nursing Guide to Expert Elder Care</t>
  </si>
  <si>
    <t>01436978</t>
  </si>
  <si>
    <t>ECG Strip Ease, An Arrhthymia Interpretation Workbook</t>
  </si>
  <si>
    <t>0-7817-7498-5</t>
  </si>
  <si>
    <t>Principles and Practice of Gastrointestinal Oncology</t>
  </si>
  <si>
    <t>978-0-7817-8402-3</t>
  </si>
  <si>
    <t>5-Minute Sports Medicine Consult, The</t>
  </si>
  <si>
    <t>978-0-7817-3198-0</t>
  </si>
  <si>
    <t>01223029</t>
  </si>
  <si>
    <t>0-7817-4782-1</t>
  </si>
  <si>
    <t>01437401</t>
  </si>
  <si>
    <t>978-0-7817-3669-5</t>
  </si>
  <si>
    <t>Professional Guide to Diagnostic Tests</t>
  </si>
  <si>
    <t>1-5825-5820-5</t>
  </si>
  <si>
    <t>978-1-6054-7454-0</t>
  </si>
  <si>
    <t>978-0-7817-8136-7</t>
  </si>
  <si>
    <t>0-7817-4996-4</t>
  </si>
  <si>
    <t>01223028</t>
  </si>
  <si>
    <t>01787337</t>
  </si>
  <si>
    <t>1-6054-7237-9</t>
  </si>
  <si>
    <t>01436893</t>
  </si>
  <si>
    <t>01382879</t>
  </si>
  <si>
    <t>0-7817-6779-2</t>
  </si>
  <si>
    <t>01222994</t>
  </si>
  <si>
    <t>978-1-5825-5403-7</t>
  </si>
  <si>
    <t>01337564</t>
  </si>
  <si>
    <t>0-7817-3278-6</t>
  </si>
  <si>
    <t>Pathophysiology:  An Incredibly Visual! Pocket Guide</t>
  </si>
  <si>
    <t>01223031</t>
  </si>
  <si>
    <t>01382883</t>
  </si>
  <si>
    <t>Stereotactic Body Radiation Therapy</t>
  </si>
  <si>
    <t>Dosage Calculations Made Incredibly Easy!</t>
  </si>
  <si>
    <t>01382525</t>
  </si>
  <si>
    <t>Adult Knee, The</t>
  </si>
  <si>
    <t>Avoiding Common Pediatric Errors</t>
  </si>
  <si>
    <t>978-0-7817-5627-3</t>
  </si>
  <si>
    <t>0-7817-9970-8</t>
  </si>
  <si>
    <t>1-6054-7476-2</t>
  </si>
  <si>
    <t>0-7817-6519-6</t>
  </si>
  <si>
    <t>0-7817-3625-0</t>
  </si>
  <si>
    <t>0-7817-9971-6</t>
  </si>
  <si>
    <t>978-1-4511-7267-6</t>
  </si>
  <si>
    <t>0-7817-4142-4</t>
  </si>
  <si>
    <t>978-1-4698-5303-1</t>
  </si>
  <si>
    <t>978-0-7817-3234-5</t>
  </si>
  <si>
    <t>Pathophysiology: An Incredibly Easy! Pocket Guide</t>
  </si>
  <si>
    <t>01337356</t>
  </si>
  <si>
    <t>01382804</t>
  </si>
  <si>
    <t>All Things Nursing</t>
  </si>
  <si>
    <t>01337256</t>
  </si>
  <si>
    <t>01412551</t>
  </si>
  <si>
    <t>Nurse's 5-Minute Clinical Consult: Multisystem Disorders</t>
  </si>
  <si>
    <t>Ovarian Cancer</t>
  </si>
  <si>
    <t>978-0-7817-6519-0</t>
  </si>
  <si>
    <t>0-7817-6224-3</t>
  </si>
  <si>
    <t>01436894</t>
  </si>
  <si>
    <t>978-1-6054-7640-7</t>
  </si>
  <si>
    <t>0-7817-8135-3</t>
  </si>
  <si>
    <t>01337664</t>
  </si>
  <si>
    <t>01394393</t>
  </si>
  <si>
    <t>978-0-7817-6666-1</t>
  </si>
  <si>
    <t>01273316</t>
  </si>
  <si>
    <t>01337665</t>
  </si>
  <si>
    <t>1-5825-5447-1</t>
  </si>
  <si>
    <t>Atlas of Mitral Valve Repair</t>
  </si>
  <si>
    <t>01382637</t>
  </si>
  <si>
    <t>0-7817-8165-5</t>
  </si>
  <si>
    <t>Head &amp; Neck Surgery - Otolaryngology</t>
  </si>
  <si>
    <t>Personality Disorders: A Practical Guide</t>
  </si>
  <si>
    <t>978-0-7817-3652-7</t>
  </si>
  <si>
    <t>978-1-6091-3705-2</t>
  </si>
  <si>
    <t>0-7817-3905-5</t>
  </si>
  <si>
    <t>1-4511-9387-4</t>
  </si>
  <si>
    <t>0-7817-8307-0</t>
  </si>
  <si>
    <t>Biopsy Interpretation of the Upper Aerodigestive Tract and Ear</t>
  </si>
  <si>
    <t>Burkhart's View of the Shoulder: A Cowboy's Guide to Advanced Shoulder Arthroscopy</t>
  </si>
  <si>
    <t>Master Techniques in Orthopaedic Surgery: The Spine</t>
  </si>
  <si>
    <t>Mental Health and Psychiatric Nursing</t>
  </si>
  <si>
    <t>0-7817-9155-3</t>
  </si>
  <si>
    <t>978-1-6054-7051-1</t>
  </si>
  <si>
    <t>1-6054-7746-X</t>
  </si>
  <si>
    <t>0-7817-3196-8</t>
  </si>
  <si>
    <t>0-7817-5315-5</t>
  </si>
  <si>
    <t>0-7817-9256-8</t>
  </si>
  <si>
    <t>0-7817-7599-X</t>
  </si>
  <si>
    <t>Complete Guide to Vascular Ultrasound, The</t>
  </si>
  <si>
    <t>1-5825-5243-6</t>
  </si>
  <si>
    <t>01382830</t>
  </si>
  <si>
    <t>978-0-7817-6433-9</t>
  </si>
  <si>
    <t>0-7817-7136-6</t>
  </si>
  <si>
    <t>Child Neurology</t>
  </si>
  <si>
    <t>0-7817-7381-4</t>
  </si>
  <si>
    <t>0-7817-7250-8</t>
  </si>
  <si>
    <t>978-1-5825-5348-1</t>
  </si>
  <si>
    <t>978-0-7817-9282-0</t>
  </si>
  <si>
    <t>978-1-6054-7389-5</t>
  </si>
  <si>
    <t>26th_Edition</t>
  </si>
  <si>
    <t>978-1-6054-7153-2</t>
  </si>
  <si>
    <t>Greenfield's Surgery: Scientific Principles and Practice</t>
  </si>
  <si>
    <t>1-4511-1019-7</t>
  </si>
  <si>
    <t>1-5825-5241-X</t>
  </si>
  <si>
    <t>Manual of Gastroenterology: Diagnosis And Therapy</t>
  </si>
  <si>
    <t>978-0-7817-5137-7</t>
  </si>
  <si>
    <t>0-7817-9263-0</t>
  </si>
  <si>
    <t>978-1-4698-0123-0</t>
  </si>
  <si>
    <t>Clinical Handbook of Psychiatry and the Law</t>
  </si>
  <si>
    <t>978-1-6091-3237-8</t>
  </si>
  <si>
    <t>Ocular Therapeutics Handbook: A Clinical Manual</t>
  </si>
  <si>
    <t>Professional Guide to Assessment</t>
  </si>
  <si>
    <t>I.V. Therapy Made Incredibly Easy!</t>
  </si>
  <si>
    <t>01787350</t>
  </si>
  <si>
    <t>Nurse's 5-Minute Clinical Consult: Treatments</t>
  </si>
  <si>
    <t>Pediatric Nephrology</t>
  </si>
  <si>
    <t>0-7817-5083-0</t>
  </si>
  <si>
    <t>01382417</t>
  </si>
  <si>
    <t>1-5825-5818-3</t>
  </si>
  <si>
    <t>00139877</t>
  </si>
  <si>
    <t>1-6054-7277-8</t>
  </si>
  <si>
    <t>1-5825-5513-3</t>
  </si>
  <si>
    <t>Cardiovascular Care Made Incredibly Visual!</t>
  </si>
  <si>
    <t>978-0-7817-5343-2</t>
  </si>
  <si>
    <t>01382779</t>
  </si>
  <si>
    <t>978-1-6054-7428-1</t>
  </si>
  <si>
    <t>01438868</t>
  </si>
  <si>
    <t>978-1-4511-3160-4</t>
  </si>
  <si>
    <t>Principles &amp; Practice of Emergency Medicine</t>
  </si>
  <si>
    <t>0-3975-1624-X</t>
  </si>
  <si>
    <t>ECG Workout: Exercises in Arrhythmia Interpretation</t>
  </si>
  <si>
    <t>01312098</t>
  </si>
  <si>
    <t>978-0-7817-4999-2</t>
  </si>
  <si>
    <t>Master Techniques in Podiatric Surgery: The Foot and Ankle</t>
  </si>
  <si>
    <t>01906633</t>
  </si>
  <si>
    <t>1-5825-5559-1</t>
  </si>
  <si>
    <t>978-0-7817-5765-2</t>
  </si>
  <si>
    <t>978-0-7817-7459-8</t>
  </si>
  <si>
    <t>01435764</t>
  </si>
  <si>
    <t>01899893</t>
  </si>
  <si>
    <t>Operative Techniques in Foot and Ankle Surgery</t>
  </si>
  <si>
    <t>978-1-4511-3744-6</t>
  </si>
  <si>
    <t>978-0-7817-7617-2</t>
  </si>
  <si>
    <t>00139968</t>
  </si>
  <si>
    <t>Signs and Symptoms: A 2-in-1 Reference for Nurses</t>
  </si>
  <si>
    <t>978-1-6054-7605-6</t>
  </si>
  <si>
    <t>0-7817-8915-X</t>
  </si>
  <si>
    <t>978-1-5825-5999-5</t>
  </si>
  <si>
    <t>01437413</t>
  </si>
  <si>
    <t>978-0-7817-4685-4</t>
  </si>
  <si>
    <t>01437525</t>
  </si>
  <si>
    <t>Atherothrombosis and Coronary Artery Disease</t>
  </si>
  <si>
    <t>Electroencephalography</t>
  </si>
  <si>
    <t>Evidence-Based Cardiology</t>
  </si>
  <si>
    <t>1-5825-5304-1</t>
  </si>
  <si>
    <t>Diagnostic Tests Made Incredibly Easy!</t>
  </si>
  <si>
    <t>01439420</t>
  </si>
  <si>
    <t>01382565</t>
  </si>
  <si>
    <t>01382843</t>
  </si>
  <si>
    <t>Lovell &amp; Winter's Pediatric Orthopaedics</t>
  </si>
  <si>
    <t>01279753</t>
  </si>
  <si>
    <t>01439421</t>
  </si>
  <si>
    <t>1-6091-3705-1</t>
  </si>
  <si>
    <t>Clinical Manual of Contact Lenses</t>
  </si>
  <si>
    <t>01435759</t>
  </si>
  <si>
    <t>0-7817-9993-7</t>
  </si>
  <si>
    <t>978-1-6083-1911-4</t>
  </si>
  <si>
    <t>01429591</t>
  </si>
  <si>
    <t>1-5825-5631-8</t>
  </si>
  <si>
    <t>01279760</t>
  </si>
  <si>
    <t>Revision and Complex Shoulder Arthroplasty</t>
  </si>
  <si>
    <t>0-7817-3235-2</t>
  </si>
  <si>
    <t>978-1-5825-5722-9</t>
  </si>
  <si>
    <t>978-0-7817-5315-9</t>
  </si>
  <si>
    <t>Joint Replacement Arthroplasty: Basic Science, Elbow and Shoulder</t>
  </si>
  <si>
    <t>0-7817-9651-2</t>
  </si>
  <si>
    <t>978-1-6054-7746-6</t>
  </si>
  <si>
    <t>0-7817-4136-X</t>
  </si>
  <si>
    <t>Quick Reference to Critical Care</t>
  </si>
  <si>
    <t>Nursing Know-How: Charting Patient Care</t>
  </si>
  <si>
    <t>978-1-5825-5318-4</t>
  </si>
  <si>
    <t>1-6083-1054-X</t>
  </si>
  <si>
    <t>978-0-7817-8687-4</t>
  </si>
  <si>
    <t>01337651</t>
  </si>
  <si>
    <t>00139913</t>
  </si>
  <si>
    <t>01439412</t>
  </si>
  <si>
    <t>1-4511-7634-1</t>
  </si>
  <si>
    <t>0-7817-6566-8</t>
  </si>
  <si>
    <t>Nurse's Quick Check: Skills</t>
  </si>
  <si>
    <t>0-7817-5104-7</t>
  </si>
  <si>
    <t>Fluids &amp; Electrolyte: An Incredibly Easy! Pocket Guide</t>
  </si>
  <si>
    <t>MNDT-PB-E08</t>
  </si>
  <si>
    <t>978-0-7817-8494-8</t>
  </si>
  <si>
    <t>Nurse's Personal Preceptor</t>
  </si>
  <si>
    <t>Medical-Surgical Nursing</t>
  </si>
  <si>
    <t>978-0-7817-4782-0</t>
  </si>
  <si>
    <t>01382652</t>
  </si>
  <si>
    <t>01257010</t>
  </si>
  <si>
    <t>1-5825-5222-3</t>
  </si>
  <si>
    <t>Essentials of Complementary &amp; Alternative Medicine</t>
  </si>
  <si>
    <t>01376505</t>
  </si>
  <si>
    <t>978-0-6833-0462-6</t>
  </si>
  <si>
    <t>0-7817-5466-6</t>
  </si>
  <si>
    <t>978-1-4511-7736-7</t>
  </si>
  <si>
    <t>01382424</t>
  </si>
  <si>
    <t>1-6083-1686-6</t>
  </si>
  <si>
    <t>01324484</t>
  </si>
  <si>
    <t>0-7817-8619-3</t>
  </si>
  <si>
    <t>978-0-7817-9263-9</t>
  </si>
  <si>
    <t>01437400</t>
  </si>
  <si>
    <t>Auscultation Skills: Heart &amp; Breath Sounds</t>
  </si>
  <si>
    <t>Drugs in Pregnancy &amp; Lactation</t>
  </si>
  <si>
    <t>0-7817-4750-3</t>
  </si>
  <si>
    <t>5th_Edition</t>
  </si>
  <si>
    <t>0-3975-5007-3</t>
  </si>
  <si>
    <t>01382681</t>
  </si>
  <si>
    <t>978-1-5825-5341-2</t>
  </si>
  <si>
    <t>Just the Facts: IV Therapy</t>
  </si>
  <si>
    <t>Principles and Practice of Dialysis</t>
  </si>
  <si>
    <t>0-7817-8948-6</t>
  </si>
  <si>
    <t>978-1-6054-7087-0</t>
  </si>
  <si>
    <t>978-0-7817-9964-5</t>
  </si>
  <si>
    <t>0-7817-2931-9</t>
  </si>
  <si>
    <t>0-7817-6424-6</t>
  </si>
  <si>
    <t>978-0-7817-9638-5</t>
  </si>
  <si>
    <t>978-1-6083-1099-9</t>
  </si>
  <si>
    <t>978-0-7817-5774-4</t>
  </si>
  <si>
    <t>978-0-7817-7176-4</t>
  </si>
  <si>
    <t>Operative Arthroscopy</t>
  </si>
  <si>
    <t>Principles of Addiction Medicine</t>
  </si>
  <si>
    <t>Handbook of Cognitive Hypnotherapy for Depression: An Evidence-Based Approach</t>
  </si>
  <si>
    <t>978-0-7817-7559-5</t>
  </si>
  <si>
    <t>978-1-5825-5675-8</t>
  </si>
  <si>
    <t>0-7817-6300-2</t>
  </si>
  <si>
    <t>0-7817-4448-2</t>
  </si>
  <si>
    <t>01435378</t>
  </si>
  <si>
    <t>978-1-6054-7144-0</t>
  </si>
  <si>
    <t>01256992</t>
  </si>
  <si>
    <t>00139988</t>
  </si>
  <si>
    <t>Surgery of the Ear and Temporal Bone</t>
  </si>
  <si>
    <t>Therapeutic Nutrition: A Guide to Patient Education</t>
  </si>
  <si>
    <t>01437406</t>
  </si>
  <si>
    <t>0-7817-7919-7</t>
  </si>
  <si>
    <t>Comprehensive Review of Psychiatry</t>
  </si>
  <si>
    <t>978-0-7817-4922-0</t>
  </si>
  <si>
    <t>01382774</t>
  </si>
  <si>
    <t>0-7817-9763-2</t>
  </si>
  <si>
    <t>01735126</t>
  </si>
  <si>
    <t>01382720</t>
  </si>
  <si>
    <t>Case-Based Anesthesia: Clinical Learning Guides</t>
  </si>
  <si>
    <t>0-7817-9584-2</t>
  </si>
  <si>
    <t>978-0-7817-4707-3</t>
  </si>
  <si>
    <t>01257041</t>
  </si>
  <si>
    <t>Sauer's Manual of Skin Diseases</t>
  </si>
  <si>
    <t>Electrophysiology: The Basics - A Companion Guide for the Cardiology Fellow during the EP Rotation</t>
  </si>
  <si>
    <t>Ethical Issues in Neurology</t>
  </si>
  <si>
    <t>0-7817-5279-5</t>
  </si>
  <si>
    <t>01382870</t>
  </si>
  <si>
    <t>0-7817-7215-X</t>
  </si>
  <si>
    <t>0-7817-5288-4</t>
  </si>
  <si>
    <t>Child &amp; Adolescent Clinical Psychopharmacology</t>
  </si>
  <si>
    <t>00149848</t>
  </si>
  <si>
    <t>01279742</t>
  </si>
  <si>
    <t>0-7817-5186-1</t>
  </si>
  <si>
    <t>Lumbar Spine, The: Official Publication of the International Society for the Study of the Lumbar Spine</t>
  </si>
  <si>
    <t>Neuroradiology Companion: Methods, Guidelines, and Imaging Fundamentals</t>
  </si>
  <si>
    <t>Visual Nursing: A Guide to Diseases, Skills, and Treatments</t>
  </si>
  <si>
    <t>1-6083-1914-8</t>
  </si>
  <si>
    <t>978-1-6054-7973-6</t>
  </si>
  <si>
    <t>01382650</t>
  </si>
  <si>
    <t>01279706</t>
  </si>
  <si>
    <t>Johns Hopkins Manual of Gynecology &amp; Obstetrics</t>
  </si>
  <si>
    <t>978-0-6833-0202-8</t>
  </si>
  <si>
    <t>978-1-6054-7055-9</t>
  </si>
  <si>
    <t>0-7817-4290-0</t>
  </si>
  <si>
    <t>0-7817-5079-2</t>
  </si>
  <si>
    <t>978-0-7817-8569-3</t>
  </si>
  <si>
    <t>Bennett and Brachman's Hospital Infections</t>
  </si>
  <si>
    <t>Congestive Heart Failure</t>
  </si>
  <si>
    <t>1-5825-5340-8</t>
  </si>
  <si>
    <t>Lippincott Manual of Nursing Practice - Canadian Version</t>
  </si>
  <si>
    <t>0-7817-7093-9</t>
  </si>
  <si>
    <t>01437404</t>
  </si>
  <si>
    <t>01437574</t>
  </si>
  <si>
    <t>22nd_Edition</t>
  </si>
  <si>
    <t>978-0-7817-6399-8</t>
  </si>
  <si>
    <t>01382741</t>
  </si>
  <si>
    <t>978-1-5825-5464-8</t>
  </si>
  <si>
    <t>01400421</t>
  </si>
  <si>
    <t>978-1-6091-3620-8</t>
  </si>
  <si>
    <t>Straight A's in Psychiatric and Mental Health Nursing</t>
  </si>
  <si>
    <t>01222992</t>
  </si>
  <si>
    <t>978-0-7817-6214-4</t>
  </si>
  <si>
    <t>Nursing: Deciphering Diagnostic Tests</t>
  </si>
  <si>
    <t>Essentials of Lewis's Child and Adolescent Psychiatry</t>
  </si>
  <si>
    <t>1-5825-5697-0</t>
  </si>
  <si>
    <t>01436920</t>
  </si>
  <si>
    <t>Diseases of the Orbit: A Multidisciplinary Approach</t>
  </si>
  <si>
    <t>1-4511-4623-X</t>
  </si>
  <si>
    <t>978-1-6054-7253-9</t>
  </si>
  <si>
    <t>1-4511-7268-0</t>
  </si>
  <si>
    <t>01256964</t>
  </si>
  <si>
    <t>978-1-5825-5354-2</t>
  </si>
  <si>
    <t>LGBTQ Cultures: What Health Care Professionals Need to Know About Sexual and Gender Diversity</t>
  </si>
  <si>
    <t>01337568</t>
  </si>
  <si>
    <t>0-7817-7176-5</t>
  </si>
  <si>
    <t>0-7817-7234-6</t>
  </si>
  <si>
    <t>8th_Edition</t>
  </si>
  <si>
    <t>1-4511-9007-7</t>
  </si>
  <si>
    <t>01435386</t>
  </si>
  <si>
    <t>978-0-7817-7096-5</t>
  </si>
  <si>
    <t>LCBC-CS-PR9</t>
  </si>
  <si>
    <t>01382535</t>
  </si>
  <si>
    <t>Portable ECG Interpretation</t>
  </si>
  <si>
    <t>00139989</t>
  </si>
  <si>
    <t>01429605</t>
  </si>
  <si>
    <t>High-Resolution CT of the Chest: Comprehensive Atlas</t>
  </si>
  <si>
    <t>0-7817-7513-2</t>
  </si>
  <si>
    <t>978-1-5825-5509-6</t>
  </si>
  <si>
    <t>978-0-7817-4437-9</t>
  </si>
  <si>
    <t>Nutrition Essentials for Nursing Practice</t>
  </si>
  <si>
    <t>1-4511-1897-X</t>
  </si>
  <si>
    <t>Taylor's Manual of Family Medicine</t>
  </si>
  <si>
    <t>0-7817-7749-6</t>
  </si>
  <si>
    <t>978-1-4511-0955-9</t>
  </si>
  <si>
    <t>Atlas of Neurologic Diagnosis and Treatment</t>
  </si>
  <si>
    <t>0-7817-9738-1</t>
  </si>
  <si>
    <t>1-6083-1547-9</t>
  </si>
  <si>
    <t>1-6054-7577-7</t>
  </si>
  <si>
    <t>01337528</t>
  </si>
  <si>
    <t>Clinical Assessments in Psychiatry: Mastering Skills and Passing Exams</t>
  </si>
  <si>
    <t>01382621</t>
  </si>
  <si>
    <t>978-0-7817-2889-8</t>
  </si>
  <si>
    <t>01312066</t>
  </si>
  <si>
    <t>Diagnostic Pathology and Molecular Genetics of the Thyroid</t>
  </si>
  <si>
    <t>01382583</t>
  </si>
  <si>
    <t>Manual of Ambulatory Pediatrics</t>
  </si>
  <si>
    <t>0-7817-5794-0</t>
  </si>
  <si>
    <t>01223036</t>
  </si>
  <si>
    <t>978-0-7817-6816-0</t>
  </si>
  <si>
    <t>978-0-7817-7739-1</t>
  </si>
  <si>
    <t>Nursing Procedures and Protocols</t>
  </si>
  <si>
    <t>1-4963-0863-8</t>
  </si>
  <si>
    <t>01382425</t>
  </si>
  <si>
    <t>01437507</t>
  </si>
  <si>
    <t>978-0-7817-7477-2</t>
  </si>
  <si>
    <t>Nursing Herbal Medicine Handbook</t>
  </si>
  <si>
    <t>01412550</t>
  </si>
  <si>
    <t>1-6083-1444-8</t>
  </si>
  <si>
    <t>978-0-7817-7204-4</t>
  </si>
  <si>
    <t>978-1-6083-1259-7</t>
  </si>
  <si>
    <t>978-0-7817-4876-6</t>
  </si>
  <si>
    <t>0-7817-2272-1</t>
  </si>
  <si>
    <t>Psychiatry</t>
  </si>
  <si>
    <t>Master Techniques in Orthopaedic Surgery: Fractures</t>
  </si>
  <si>
    <t>978-0-7817-9124-3</t>
  </si>
  <si>
    <t>978-1-6054-7888-3</t>
  </si>
  <si>
    <t>01437580</t>
  </si>
  <si>
    <t>0-7817-6812-8</t>
  </si>
  <si>
    <t>978-1-6083-1686-1</t>
  </si>
  <si>
    <t>01382676</t>
  </si>
  <si>
    <t>978-0-6833-0742-9</t>
  </si>
  <si>
    <t>978-0-7817-3605-3</t>
  </si>
  <si>
    <t>01437516</t>
  </si>
  <si>
    <t>0-7817-4747-3</t>
  </si>
  <si>
    <t>Surgical Approaches to the Facial Skeleton</t>
  </si>
  <si>
    <t>Fundamentals of Sleep Technology</t>
  </si>
  <si>
    <t>01382792</t>
  </si>
  <si>
    <t>Office Care Geriatrics</t>
  </si>
  <si>
    <t>01745867</t>
  </si>
  <si>
    <t>Anatomy &amp; Physiology: An Incredibly Visual! Pocket Guide</t>
  </si>
  <si>
    <t>Bonica's Management of Pain</t>
  </si>
  <si>
    <t>978-1-5825-5412-9</t>
  </si>
  <si>
    <t>Wound Care Made Incredibly Easy!</t>
  </si>
  <si>
    <t>MD Anderson Surgical Oncology Handbook, The</t>
  </si>
  <si>
    <t>978-0-7817-7845-9</t>
  </si>
  <si>
    <t>978-1-5825-5697-0</t>
  </si>
  <si>
    <t>01438864</t>
  </si>
  <si>
    <t>978-0-7817-6603-6</t>
  </si>
  <si>
    <t>01437549</t>
  </si>
  <si>
    <t>978-0-7817-6972-3</t>
  </si>
  <si>
    <t>Johns Hopkins Absite Review Manual, The</t>
  </si>
  <si>
    <t>978-1-6054-7227-0</t>
  </si>
  <si>
    <t>1-6054-7530-0</t>
  </si>
  <si>
    <t>01435387</t>
  </si>
  <si>
    <t>0-7817-9639-3</t>
  </si>
  <si>
    <t>Fundamentals of Pediatric Cardiology</t>
  </si>
  <si>
    <t>978-0-7817-3265-9</t>
  </si>
  <si>
    <t>4th_Edition</t>
  </si>
  <si>
    <t>1-6083-1670-X</t>
  </si>
  <si>
    <t>978-0-7817-6060-7</t>
  </si>
  <si>
    <t>1-5825-5506-0</t>
  </si>
  <si>
    <t>978-1-5825-5425-9</t>
  </si>
  <si>
    <t>978-0-7817-5561-0</t>
  </si>
  <si>
    <t>1-5825-5679-2</t>
  </si>
  <si>
    <t>978-0-7817-9949-2</t>
  </si>
  <si>
    <t>978-0-7817-6284-7</t>
  </si>
  <si>
    <t>0-7817-6671-0</t>
  </si>
  <si>
    <t>978-1-6083-1183-5</t>
  </si>
  <si>
    <t>01437502</t>
  </si>
  <si>
    <t>0-7817-8886-2</t>
  </si>
  <si>
    <t>Lippincott Williams &amp; Wilkins (Copyright 2008 by Richard S. Irwin, M.D. and James M. Rippe, M.D.)</t>
  </si>
  <si>
    <t>01437648</t>
  </si>
  <si>
    <t>01720492</t>
  </si>
  <si>
    <t>Glass' Office Gynecology</t>
  </si>
  <si>
    <t>0-7817-6245-6</t>
  </si>
  <si>
    <t>0-7817-9833-7</t>
  </si>
  <si>
    <t>978-1-6083-1109-5</t>
  </si>
  <si>
    <t>01735172</t>
  </si>
  <si>
    <t>978-0-7817-9535-7</t>
  </si>
  <si>
    <t>0-7817-4383-4</t>
  </si>
  <si>
    <t>1-5825-5270-3</t>
  </si>
  <si>
    <t>5-Minute Clinical Consult 2011, The</t>
  </si>
  <si>
    <t>978-0-7817-9404-6</t>
  </si>
  <si>
    <t>978-0-7817-3536-0</t>
  </si>
  <si>
    <t>Noninvasive Cardiovascular Imaging: A Multimodality Approach</t>
  </si>
  <si>
    <t>01437546</t>
  </si>
  <si>
    <t>978-0-7817-8165-7</t>
  </si>
  <si>
    <t>0-7817-5285-X</t>
  </si>
  <si>
    <t>978-0-7817-6370-7</t>
  </si>
  <si>
    <t>978-1-6083-1193-4</t>
  </si>
  <si>
    <t>Women's Health: A Guide to Health Promotion and Disorder Management</t>
  </si>
  <si>
    <t>0-7817-6869-1</t>
  </si>
  <si>
    <t>0-7817-7359-8</t>
  </si>
  <si>
    <t>Complementary Fat Grafting</t>
  </si>
  <si>
    <t>978-1-5825-5506-5</t>
  </si>
  <si>
    <t>Gleason Grading of Prostate Cancer: A Contemporary Approach</t>
  </si>
  <si>
    <t>978-0-7817-5331-9</t>
  </si>
  <si>
    <t>978-0-7817-7032-3</t>
  </si>
  <si>
    <t>Te Linde's Operative Gynecology</t>
  </si>
  <si>
    <t>Handbook of Physical Medicine and Rehabilitation Basics: The Basics</t>
  </si>
  <si>
    <t>Johns Hopkins Hospital 2005-6 Guide to Medical Care of Patients with HIV Infection, The</t>
  </si>
  <si>
    <t>978-0-7817-5502-3</t>
  </si>
  <si>
    <t>Cancer of the Nervous System</t>
  </si>
  <si>
    <t>Master Techniques in Colon and Rectal Surgery: Anorectal Operations</t>
  </si>
  <si>
    <t>Clinical Geriatric Psychopharmacology</t>
  </si>
  <si>
    <t>978-1-5825-5660-4</t>
  </si>
  <si>
    <t>978-0-7817-3549-0</t>
  </si>
  <si>
    <t>978-1-6054-7053-5</t>
  </si>
  <si>
    <t>0-7817-7497-7</t>
  </si>
  <si>
    <t>978-0-7817-1787-8</t>
  </si>
  <si>
    <t>0-6833-0462-3</t>
  </si>
  <si>
    <t>1-6054-7152-6</t>
  </si>
  <si>
    <t>Color Atlas and Synopsis of Clinical Ophthalmology (Wills Eye Institute): Retina</t>
  </si>
  <si>
    <t>01438869</t>
  </si>
  <si>
    <t>01337565</t>
  </si>
  <si>
    <t>0-7817-9696-2</t>
  </si>
  <si>
    <t>Physical Medicine &amp; Rehabilitation: Principles and Practice</t>
  </si>
  <si>
    <t>0-7817-4657-4</t>
  </si>
  <si>
    <t>0-7817-4433-4</t>
  </si>
  <si>
    <t>978-0-7817-9750-4</t>
  </si>
  <si>
    <t>978-1-4511-8850-9</t>
  </si>
  <si>
    <t>01337258</t>
  </si>
  <si>
    <t>Psychiatric Aspects of HIV/AIDS</t>
  </si>
  <si>
    <t>Rosen &amp; Barkin's 5Minute Emergency Medicine Consult</t>
  </si>
  <si>
    <t>978-1-6083-1670-0</t>
  </si>
  <si>
    <t>01438047</t>
  </si>
  <si>
    <t>978-1-4511-9294-0</t>
  </si>
  <si>
    <t>Essential Emergency Trauma</t>
  </si>
  <si>
    <t>1-6054-7760-5</t>
  </si>
  <si>
    <t>Hypertension Primer: The Essentials of High Blood Pressure</t>
  </si>
  <si>
    <t>978-1-5825-5624-6</t>
  </si>
  <si>
    <t>01329160</t>
  </si>
  <si>
    <t>978-1-5825-5668-0</t>
  </si>
  <si>
    <t>01382708</t>
  </si>
  <si>
    <t>978-1-6054-7196-9</t>
  </si>
  <si>
    <t>978-1-5825-5796-0</t>
  </si>
  <si>
    <t>01257038</t>
  </si>
  <si>
    <t>1-6083-1110-4</t>
  </si>
  <si>
    <t>978-0-7817-9627-9</t>
  </si>
  <si>
    <t>01382855</t>
  </si>
  <si>
    <t>Atlas of Orthopaedic Surgery: A Multimedia Reference</t>
  </si>
  <si>
    <t>0-7817-4517-9</t>
  </si>
  <si>
    <t>Breast Pathology: Diagnosis by Needle Core Biopsy</t>
  </si>
  <si>
    <t>1-5825-5967-8</t>
  </si>
  <si>
    <t>Dubois' Lupus Erythematosus</t>
  </si>
  <si>
    <t>0-7817-4600-0</t>
  </si>
  <si>
    <t>Emergency Nursing Made Incredibly Easy!</t>
  </si>
  <si>
    <t>Localization in Clinical Neurology</t>
  </si>
  <si>
    <t>0-7817-8591-X</t>
  </si>
  <si>
    <t>01429427</t>
  </si>
  <si>
    <t>1-4511-4460-1</t>
  </si>
  <si>
    <t>01437582</t>
  </si>
  <si>
    <t>0-7817-8804-8</t>
  </si>
  <si>
    <t>01382885</t>
  </si>
  <si>
    <t>978-0-6833-0654-5</t>
  </si>
  <si>
    <t>01438890</t>
  </si>
  <si>
    <t>978-0-7817-8688-1</t>
  </si>
  <si>
    <t>978-0-7817-7146-7</t>
  </si>
  <si>
    <t>Strategic Approaches in Coronary Intervention</t>
  </si>
  <si>
    <t>01439414</t>
  </si>
  <si>
    <t>0-7817-4252-8</t>
  </si>
  <si>
    <t>1-5825-5338-6</t>
  </si>
  <si>
    <t>LPN Expert Guides: Wound Care</t>
  </si>
  <si>
    <t>0-7817-6562-5</t>
  </si>
  <si>
    <t>01382738</t>
  </si>
  <si>
    <t>Hemodynamic Monitoring Made Incredibly Visual!</t>
  </si>
  <si>
    <t>978-0-7817-6811-5</t>
  </si>
  <si>
    <t>978-0-7817-9469-5</t>
  </si>
  <si>
    <t>Radiobiology for the Radiologist</t>
  </si>
  <si>
    <t>01434788</t>
  </si>
  <si>
    <t>978-1-6054-7013-9</t>
  </si>
  <si>
    <t>0-7817-2823-1</t>
  </si>
  <si>
    <t>978-0-7817-9289-9</t>
  </si>
  <si>
    <t>978-1-6054-7198-3</t>
  </si>
  <si>
    <t>978-0-7817-9153-3</t>
  </si>
  <si>
    <t>978-0-7817-4718-9</t>
  </si>
  <si>
    <t>Adult Hip, The</t>
  </si>
  <si>
    <t>1-5825-5369-6</t>
  </si>
  <si>
    <t>1-5825-5933-3</t>
  </si>
  <si>
    <t>1-6091-3972-0</t>
  </si>
  <si>
    <t>978-0-7817-9387-2</t>
  </si>
  <si>
    <t>0-7817-2889-4</t>
  </si>
  <si>
    <t>978-0-7817-3576-6</t>
  </si>
  <si>
    <t>Order</t>
  </si>
  <si>
    <t>Wills Eye Institute: Cornea</t>
  </si>
  <si>
    <t>Interpretation of Pulmonary Function Tests: A Practical Guide</t>
  </si>
  <si>
    <t>978-0-7817-5929-8</t>
  </si>
  <si>
    <t>01435738</t>
  </si>
  <si>
    <t>Lippincott Manual of Nursing Practice Series: Pathophysiology</t>
  </si>
  <si>
    <t>978-0-7817-5169-8</t>
  </si>
  <si>
    <t>Family Focused Behavioral Pediatrics</t>
  </si>
  <si>
    <t>01382812</t>
  </si>
  <si>
    <t>Mastering ACLS</t>
  </si>
  <si>
    <t>01382670</t>
  </si>
  <si>
    <t>0-7817-3731-1</t>
  </si>
  <si>
    <t>01434774</t>
  </si>
  <si>
    <t>978-1-4511-1091-3</t>
  </si>
  <si>
    <t>Nurse's 5-Minute Clinical Consult: Procedures</t>
  </si>
  <si>
    <t>Handbook of Dialysis</t>
  </si>
  <si>
    <t>978-0-7817-9252-3</t>
  </si>
  <si>
    <t>01634920</t>
  </si>
  <si>
    <t>01337537</t>
  </si>
  <si>
    <t>1-5825-5696-2</t>
  </si>
  <si>
    <t>01382799</t>
  </si>
  <si>
    <t>1-6083-1339-5</t>
  </si>
  <si>
    <t>01787236</t>
  </si>
  <si>
    <t>Notes on Nursing, Commemorative Edition: What It Is and What It Is Not</t>
  </si>
  <si>
    <t>1-6054-7134-8</t>
  </si>
  <si>
    <t>01273130</t>
  </si>
  <si>
    <t>0-7817-5503-4</t>
  </si>
  <si>
    <t>978-1-6054-7715-2</t>
  </si>
  <si>
    <t>01434795</t>
  </si>
  <si>
    <t>978-0-7817-4331-0</t>
  </si>
  <si>
    <t>0-7817-5770-3</t>
  </si>
  <si>
    <t>Practical Clinical Electrophysiology</t>
  </si>
  <si>
    <t>01337539</t>
  </si>
  <si>
    <t>0-3975-1725-4</t>
  </si>
  <si>
    <t>978-1-5825-5559-1</t>
  </si>
  <si>
    <t>Handbook of Diagnostic Tests</t>
  </si>
  <si>
    <t>1-4511-1197-5</t>
  </si>
  <si>
    <t>0-7817-8856-0</t>
  </si>
  <si>
    <t>00139889</t>
  </si>
  <si>
    <t>978-1-6083-1894-0</t>
  </si>
  <si>
    <t>01438871</t>
  </si>
  <si>
    <t>01437550</t>
  </si>
  <si>
    <t>978-0-7817-9533-3</t>
  </si>
  <si>
    <t>978-0-7817-6998-3</t>
  </si>
  <si>
    <t>1-4511-1340-4</t>
  </si>
  <si>
    <t>Diabetic Retinopathy: The Essentials</t>
  </si>
  <si>
    <t>1-5825-5442-0</t>
  </si>
  <si>
    <t>01382762</t>
  </si>
  <si>
    <t>978-0-7817-7182-5</t>
  </si>
  <si>
    <t>Guide to Drug Development: A Comprehensive Review and Assessment</t>
  </si>
  <si>
    <t>0-7817-7196-X</t>
  </si>
  <si>
    <t>01434721</t>
  </si>
  <si>
    <t>Master Techniques in Orthopaedic Surgery: The Foot and Ankle</t>
  </si>
  <si>
    <t>Paul &amp; Juhl's Essentials of Radiologic Imaging</t>
  </si>
  <si>
    <t>0-7817-8303-8</t>
  </si>
  <si>
    <t>01382819</t>
  </si>
  <si>
    <t>Insights on Death &amp; Dying</t>
  </si>
  <si>
    <t>Operative Techniques in Orthopaedic Trauma Surgery</t>
  </si>
  <si>
    <t>LPN Expert Guides: Pathophysiology</t>
  </si>
  <si>
    <t>1-4511-4447-4</t>
  </si>
  <si>
    <t>LASIK Handbook, The: A Case-Based Approach</t>
  </si>
  <si>
    <t>01279709</t>
  </si>
  <si>
    <t>01279698</t>
  </si>
  <si>
    <t>Nursing Care Plans and Documentation: Nursing Diagnosis and Collaborative Problems</t>
  </si>
  <si>
    <t>1-6054-7591-2</t>
  </si>
  <si>
    <t>01382544</t>
  </si>
  <si>
    <t>Psychodynamic Theory for Clinicians</t>
  </si>
  <si>
    <t>978-1-5825-5663-5</t>
  </si>
  <si>
    <t>01382876</t>
  </si>
  <si>
    <t>01382866</t>
  </si>
  <si>
    <t>01436871</t>
  </si>
  <si>
    <t>01382451</t>
  </si>
  <si>
    <t>01437399</t>
  </si>
  <si>
    <t>01223040</t>
  </si>
  <si>
    <t>01337563</t>
  </si>
  <si>
    <t>0-7817-9535-4</t>
  </si>
  <si>
    <t>Practical Approach to Anesthesia Equipment, A</t>
  </si>
  <si>
    <t>0-7817-7633-3</t>
  </si>
  <si>
    <t>978-0-7817-7215-0</t>
  </si>
  <si>
    <t>978-1-4511-1605-2</t>
  </si>
  <si>
    <t>0-7817-6480-7</t>
  </si>
  <si>
    <t>1-4511-0262-3</t>
  </si>
  <si>
    <t>1-6054-7496-7</t>
  </si>
  <si>
    <t>978-1-4511-4726-1</t>
  </si>
  <si>
    <t>978-0-7817-7524-3</t>
  </si>
  <si>
    <t>978-0-7817-8517-4</t>
  </si>
  <si>
    <t>OVIDSP</t>
  </si>
  <si>
    <t>01273128</t>
  </si>
  <si>
    <t>Lippincott's Manual of Psychiatric Nursing Care Plans</t>
  </si>
  <si>
    <t>978-0-7817-4087-6</t>
  </si>
  <si>
    <t>Pharmacotherapeutics for Advanced Practice: A Practical Approach</t>
  </si>
  <si>
    <t>Substance Abuse</t>
  </si>
  <si>
    <t>ICU Book, The</t>
  </si>
  <si>
    <t>Publisher</t>
  </si>
  <si>
    <t>978-1-4511-0920-7</t>
  </si>
  <si>
    <t>01382555</t>
  </si>
  <si>
    <t>01382467</t>
  </si>
  <si>
    <t>0-7817-6068-2</t>
  </si>
  <si>
    <t>01382726</t>
  </si>
  <si>
    <t>01382448</t>
  </si>
  <si>
    <t>1-6083-1081-7</t>
  </si>
  <si>
    <t>978-0-7817-2408-1</t>
  </si>
  <si>
    <t>0-7817-8509-X</t>
  </si>
  <si>
    <t>0-7817-5223-X</t>
  </si>
  <si>
    <t>0-7817-1487-7</t>
  </si>
  <si>
    <t>Fast Facts for Nurses</t>
  </si>
  <si>
    <t>Nursing Care Planning Made Incredibly Easy!</t>
  </si>
  <si>
    <t>01337524</t>
  </si>
  <si>
    <t>0-7817-9891-4</t>
  </si>
  <si>
    <t>978-1-5825-5270-5</t>
  </si>
  <si>
    <t>978-0-7817-9256-1</t>
  </si>
  <si>
    <t>0-7817-3916-0</t>
  </si>
  <si>
    <t>Master Techniques in Orthopaedic Surgery: Sports Medicine</t>
  </si>
  <si>
    <t>978-1-5825-5673-4</t>
  </si>
  <si>
    <t>978-0-7817-7792-6</t>
  </si>
  <si>
    <t>Clinical Guide: Skin and Wound Care: Skin &amp; Wound Care</t>
  </si>
  <si>
    <t>978-0-7817-9060-4</t>
  </si>
  <si>
    <t>Family Medicine Certification Review</t>
  </si>
  <si>
    <t>978-0-7817-8897-7</t>
  </si>
  <si>
    <t>01856990</t>
  </si>
  <si>
    <t>0-7817-4774-0</t>
  </si>
  <si>
    <t>978-0-7817-9042-0</t>
  </si>
  <si>
    <t>01382545</t>
  </si>
  <si>
    <t>1-6054-7454-1</t>
  </si>
  <si>
    <t>Clinical Sleep Disorders</t>
  </si>
  <si>
    <t>Fluid &amp; Electrolyte Balance: Nursing Considerations</t>
  </si>
  <si>
    <t>1-5825-5651-2</t>
  </si>
  <si>
    <t>Marriott's Practical Electrocardiography</t>
  </si>
  <si>
    <t>Practical Approach to Obstetric Anesthesia, A</t>
  </si>
  <si>
    <t>Echo Manual, The</t>
  </si>
  <si>
    <t>0-7817-5137-3</t>
  </si>
  <si>
    <t>Neuroscience of Clinical Psychiatry, The: The Pathophysiology of Behavior and Mental Illness</t>
  </si>
  <si>
    <t>1-5825-5670-9</t>
  </si>
  <si>
    <t>978-0-7817-3595-7</t>
  </si>
  <si>
    <t>0-7817-8454-9</t>
  </si>
  <si>
    <t>978-0-7817-8154-1</t>
  </si>
  <si>
    <t>0-7817-7588-4</t>
  </si>
  <si>
    <t>978-1-4511-1303-7</t>
  </si>
  <si>
    <t>0-7817-4596-9</t>
  </si>
  <si>
    <t>01256990</t>
  </si>
  <si>
    <t>978-1-4051-0505-7</t>
  </si>
  <si>
    <t>5-Minute Clinical Consult 2013, The</t>
  </si>
  <si>
    <t>978-1-4511-8758-8</t>
  </si>
  <si>
    <t>978-0-7817-5238-1</t>
  </si>
  <si>
    <t>978-1-5825-5661-1</t>
  </si>
  <si>
    <t>12th_Edition</t>
  </si>
  <si>
    <t>0-7817-3371-5</t>
  </si>
  <si>
    <t>1-4698-0128-0</t>
  </si>
  <si>
    <t>0-7817-5755-X</t>
  </si>
  <si>
    <t>1-5825-5521-4</t>
  </si>
  <si>
    <t>978-0-7817-9585-2</t>
  </si>
  <si>
    <t>Washington Manual of Medical® Therapeutics, The</t>
  </si>
  <si>
    <t>0-7817-6770-9</t>
  </si>
  <si>
    <t>978-0-7817-7209-9</t>
  </si>
  <si>
    <t>Sternberg's Diagnostic Surgical Pathology</t>
  </si>
  <si>
    <t>0-7817-4727-9</t>
  </si>
  <si>
    <t>1-5825-5318-1</t>
  </si>
  <si>
    <t>Practical Guide to Joint &amp; Soft Tissue Injection &amp; Aspiration, A : An Illustrated Text for Primary Care Providers</t>
  </si>
  <si>
    <t>978-1-5825-5693-2</t>
  </si>
  <si>
    <t>978-0-7817-8045-2</t>
  </si>
  <si>
    <t>01382841</t>
  </si>
  <si>
    <t>1-5825-5423-4</t>
  </si>
  <si>
    <t>978-0-7817-7882-4</t>
  </si>
  <si>
    <t>Child and Adolescent Neurology for Psychiatrists</t>
  </si>
  <si>
    <t>CT and MR Angiography: Comprehensive Vascular Assessment</t>
  </si>
  <si>
    <t>01787397</t>
  </si>
  <si>
    <t>Developmental and Behavioral Pediatrics: A Handbook for Primary Care</t>
  </si>
  <si>
    <t>0-7817-8941-9</t>
  </si>
  <si>
    <t>01437103</t>
  </si>
  <si>
    <t>Lewis's Child and Adolescent Psychiatry Review: 1,400 QUESTIONS TO HELP YOU PASS THE BOARDS</t>
  </si>
  <si>
    <t>Quick and Accurate 12-Lead ECG Interpretation</t>
  </si>
  <si>
    <t>978-1-6054-7065-8</t>
  </si>
  <si>
    <t>978-1-4511-8999-5</t>
  </si>
  <si>
    <t>Cancer Chemotherapy and Biotherapy: Principles and Practice</t>
  </si>
  <si>
    <t>01720604</t>
  </si>
  <si>
    <t>Just the Facts: ECG Interpretation</t>
  </si>
  <si>
    <t>Cleveland Clinic Cardiology Board Review, The</t>
  </si>
  <si>
    <t>0-6833-0674-X</t>
  </si>
  <si>
    <t>978-1-6054-7760-2</t>
  </si>
  <si>
    <t>01429604</t>
  </si>
  <si>
    <t>01337153</t>
  </si>
  <si>
    <t>KAPLAN &amp; SADOCK'S Concise: Textbook of Clinical Psychiatry</t>
  </si>
  <si>
    <t>0-7817-6645-1</t>
  </si>
  <si>
    <t>0-7817-9146-4</t>
  </si>
  <si>
    <t>0-7817-8210-4</t>
  </si>
  <si>
    <t>Fundus Autofluorescence</t>
  </si>
  <si>
    <t>978-1-4511-8408-2</t>
  </si>
  <si>
    <t>Ultrasonography of the Eye and Orbit</t>
  </si>
  <si>
    <t>0-7817-8308-9</t>
  </si>
  <si>
    <t>978-1-4511-1560-4</t>
  </si>
  <si>
    <t>0-7817-6242-1</t>
  </si>
  <si>
    <t>Biopsy Interpretation of the Liver</t>
  </si>
  <si>
    <t>978-0-7817-5146-9</t>
  </si>
  <si>
    <t>978-0-7817-6739-2</t>
  </si>
  <si>
    <t>01337666</t>
  </si>
  <si>
    <t>1-4511-0545-2</t>
  </si>
  <si>
    <t>01382502</t>
  </si>
  <si>
    <t>01222977</t>
  </si>
  <si>
    <t>01412498</t>
  </si>
  <si>
    <t>978-1-4511-0265-9</t>
  </si>
  <si>
    <t>Photographic Manual of Regional Orthopaedic and Neurological Tests</t>
  </si>
  <si>
    <t>01337523</t>
  </si>
  <si>
    <t>01376501</t>
  </si>
  <si>
    <t>1-6091-3604-7</t>
  </si>
  <si>
    <t>978-0-7817-5047-9</t>
  </si>
  <si>
    <t>0-7817-4190-4</t>
  </si>
  <si>
    <t>978-0-7817-9117-5</t>
  </si>
  <si>
    <t>01337648</t>
  </si>
  <si>
    <t>01273051</t>
  </si>
  <si>
    <t>01626625</t>
  </si>
  <si>
    <t>6th_Edition</t>
  </si>
  <si>
    <t>978-0-7817-5466-8</t>
  </si>
  <si>
    <t>1-5825-5413-7</t>
  </si>
  <si>
    <t>978-0-7817-8543-3</t>
  </si>
  <si>
    <t>978-0-3975-1624-7</t>
  </si>
  <si>
    <t>01382807</t>
  </si>
  <si>
    <t>01641767</t>
  </si>
  <si>
    <t>01429404</t>
  </si>
  <si>
    <t>01279697</t>
  </si>
  <si>
    <t>978-1-5825-5224-8</t>
  </si>
  <si>
    <t>1-5825-5180-4</t>
  </si>
  <si>
    <t>01382638</t>
  </si>
  <si>
    <t>01437499</t>
  </si>
  <si>
    <t>Kelley's Textbook of Internal Medicine</t>
  </si>
  <si>
    <t>978-1-5825-5868-4</t>
  </si>
  <si>
    <t>01438880</t>
  </si>
  <si>
    <t>5-Minute Clinical Consult Premium 2018, The</t>
  </si>
  <si>
    <t>01382642</t>
  </si>
  <si>
    <t>0-7817-9186-3</t>
  </si>
  <si>
    <t>01438883</t>
  </si>
  <si>
    <t>978-0-7817-7802-2</t>
  </si>
  <si>
    <t>1-4511-1424-9</t>
  </si>
  <si>
    <t>1-6083-1466-9</t>
  </si>
  <si>
    <t>0-7817-7858-1</t>
  </si>
  <si>
    <t>Trauma: Contemporary Principles and Therapy</t>
  </si>
  <si>
    <t>0-7817-6285-5</t>
  </si>
  <si>
    <t>Handbook of Fractures</t>
  </si>
  <si>
    <t>978-1-5825-5937-7</t>
  </si>
  <si>
    <t>978-0-7817-9613-2</t>
  </si>
  <si>
    <t>0-7817-7490-X</t>
  </si>
  <si>
    <t>0-7817-5286-8</t>
  </si>
  <si>
    <t>01437398</t>
  </si>
  <si>
    <t>978-0-7817-6944-0</t>
  </si>
  <si>
    <t>978-0-7817-9833-4</t>
  </si>
  <si>
    <t>0-7817-4052-5</t>
  </si>
  <si>
    <t>01437409</t>
  </si>
  <si>
    <t>01437514</t>
  </si>
  <si>
    <t>0-7817-1781-7</t>
  </si>
  <si>
    <t>Pediatric Hospital Medicine Textbook of Inpatient Management</t>
  </si>
  <si>
    <t>Radiology Review Manual</t>
  </si>
  <si>
    <t>00140021</t>
  </si>
  <si>
    <t>01337662</t>
  </si>
  <si>
    <t>978-0-7817-5223-7</t>
  </si>
  <si>
    <t>Manual of Vascular Diseases</t>
  </si>
  <si>
    <t>Pediatric Care Planning</t>
  </si>
  <si>
    <t>01256983</t>
  </si>
  <si>
    <t>978-1-4511-3203-8</t>
  </si>
  <si>
    <t>01382810</t>
  </si>
  <si>
    <t>01382658</t>
  </si>
  <si>
    <t>01382679</t>
  </si>
  <si>
    <t>0-7817-7922-7</t>
  </si>
  <si>
    <t>01439416</t>
  </si>
  <si>
    <t>Sarrafian's Anatomy of the Foot and Ankle: Descriptive, Topographical, Functional</t>
  </si>
  <si>
    <t>978-0-6833-0477-0</t>
  </si>
  <si>
    <t>0-7817-4380-X</t>
  </si>
  <si>
    <t>1-6083-1193-7</t>
  </si>
  <si>
    <t>978-0-7817-8686-7</t>
  </si>
  <si>
    <t>0-7817-3585-8</t>
  </si>
  <si>
    <t>Imaging of the Newborn, Infant, and Young Child</t>
  </si>
  <si>
    <t>Pediatric Retina: Medical and Surgical Approaches</t>
  </si>
  <si>
    <t>01648005</t>
  </si>
  <si>
    <t>01257034</t>
  </si>
  <si>
    <t>978-0-7817-8168-8</t>
  </si>
  <si>
    <t>Professional's Handbook of Complementary &amp; Alternative Medicines</t>
  </si>
  <si>
    <t>978-1-5825-5507-2</t>
  </si>
  <si>
    <t>1-4511-0260-7</t>
  </si>
  <si>
    <t>978-0-7817-8304-0</t>
  </si>
  <si>
    <t>00139921</t>
  </si>
  <si>
    <t>Fundamentals of Pediatric Orthopedics</t>
  </si>
  <si>
    <t>1-6083-1079-5</t>
  </si>
  <si>
    <t>0-7817-3220-4</t>
  </si>
  <si>
    <t>978-1-6083-1289-4</t>
  </si>
  <si>
    <t>Goodheart's Photoguide to Common Skin Disorders: Diagnosis and Management</t>
  </si>
  <si>
    <t>00139994</t>
  </si>
  <si>
    <t>01412566</t>
  </si>
  <si>
    <t>01435754</t>
  </si>
  <si>
    <t>1-6091-3704-3</t>
  </si>
  <si>
    <t>978-0-7817-2837-9</t>
  </si>
  <si>
    <t>0-7817-4876-3</t>
  </si>
  <si>
    <t>978-0-7817-7452-9</t>
  </si>
  <si>
    <t>0-7817-5047-4</t>
  </si>
  <si>
    <t>978-1-5825-5987-2</t>
  </si>
  <si>
    <t>Portable Signs and Symptoms</t>
  </si>
  <si>
    <t>0-7817-4258-7</t>
  </si>
  <si>
    <t>0-7817-6131-X</t>
  </si>
  <si>
    <t>978-0-7817-9914-0</t>
  </si>
  <si>
    <t>AWHONN High-Risk and Critical Care Obstetrics</t>
  </si>
  <si>
    <t>0-7817-9374-2</t>
  </si>
  <si>
    <t>978-0-7817-9079-6</t>
  </si>
  <si>
    <t>01337529</t>
  </si>
  <si>
    <t>1-6054-7503-3</t>
  </si>
  <si>
    <t>01382627</t>
  </si>
  <si>
    <t>01337670</t>
  </si>
  <si>
    <t>01382713</t>
  </si>
  <si>
    <t>01382615</t>
  </si>
  <si>
    <t>01279771</t>
  </si>
  <si>
    <t>0-7817-7424-1</t>
  </si>
  <si>
    <t>1-4511-9089-1</t>
  </si>
  <si>
    <t>Cervical Spine Surgery Atlas, The</t>
  </si>
  <si>
    <t>01382487</t>
  </si>
  <si>
    <t>0-7817-7205-2</t>
  </si>
  <si>
    <t>01437407</t>
  </si>
  <si>
    <t>01437526</t>
  </si>
  <si>
    <t>Ultimate Echo Guide, The</t>
  </si>
  <si>
    <t>24th_Edition</t>
  </si>
  <si>
    <t>01382541</t>
  </si>
  <si>
    <t>1-6083-1099-X</t>
  </si>
  <si>
    <t>Manual of Laboratory and Diagnostic Tests, A</t>
  </si>
  <si>
    <t>1-6054-7411-8</t>
  </si>
  <si>
    <t>01382808</t>
  </si>
  <si>
    <t>01223025</t>
  </si>
  <si>
    <t>0-7817-7942-1</t>
  </si>
  <si>
    <t>978-1-5825-5562-1</t>
  </si>
  <si>
    <t>Lowinson and Ruiz's Substance Abuse: A Comprehensive Textbook</t>
  </si>
  <si>
    <t>Nurses Legal Handbook</t>
  </si>
  <si>
    <t>OvidSP</t>
  </si>
  <si>
    <t>978-1-6054-7251-5</t>
  </si>
  <si>
    <t>0-7817-5813-0</t>
  </si>
  <si>
    <t>978-0-7817-5400-2</t>
  </si>
  <si>
    <t>0-7817-9377-7</t>
  </si>
  <si>
    <t>01787253</t>
  </si>
  <si>
    <t>978-1-4511-1197-2</t>
  </si>
  <si>
    <t>Rockwood and Wilkins Fractures in Children</t>
  </si>
  <si>
    <t>978-0-7817-7943-2</t>
  </si>
  <si>
    <t>00139876</t>
  </si>
  <si>
    <t>978-0-7817-8746-8</t>
  </si>
  <si>
    <t>Echocardiography in Pediatric and Adult Congenital Heart Disease</t>
  </si>
  <si>
    <t>0-7817-2774-X</t>
  </si>
  <si>
    <t>978-1-6083-1622-9</t>
  </si>
  <si>
    <t>01412554</t>
  </si>
  <si>
    <t>01437522</t>
  </si>
  <si>
    <t>00139960</t>
  </si>
  <si>
    <t>0-7817-6241-3</t>
  </si>
  <si>
    <t>978-0-7817-7982-1</t>
  </si>
  <si>
    <t>978-0-7817-3590-2</t>
  </si>
  <si>
    <t>Perioperative Care in Cardiac Anesthesia and Surgery</t>
  </si>
  <si>
    <t>01382742</t>
  </si>
  <si>
    <t>25th_Edition</t>
  </si>
  <si>
    <t>978-0-7817-4817-9</t>
  </si>
  <si>
    <t>1-6083-1259-3</t>
  </si>
  <si>
    <t>978-0-7817-5008-0</t>
  </si>
  <si>
    <t>MANUAL OF CLINICAL ONCOLOGY</t>
  </si>
  <si>
    <t>01787374</t>
  </si>
  <si>
    <t>978-0-7817-7237-2</t>
  </si>
  <si>
    <t>01324480</t>
  </si>
  <si>
    <t>1-5825-5694-6</t>
  </si>
  <si>
    <t>Fundamentals of Aerospace Medicine</t>
  </si>
  <si>
    <t>Improving Medication Adherence: How to Talk with Patients About Their Medications</t>
  </si>
  <si>
    <t>1-6083-1183-X</t>
  </si>
  <si>
    <t>1-6054-7554-8</t>
  </si>
  <si>
    <t>978-0-7817-8339-2</t>
  </si>
  <si>
    <t>01394382</t>
  </si>
  <si>
    <t>Dahlin's Bone Tumors: General Aspects and Data on 10,165 Cases</t>
  </si>
  <si>
    <t>Nutrition in Clinical Practice: A Comprehensive, Evidence-Based Manual for the Practitioner</t>
  </si>
  <si>
    <t>01337353</t>
  </si>
  <si>
    <t>Reading EEGs: A Practical Approach</t>
  </si>
  <si>
    <t>01337647</t>
  </si>
  <si>
    <t>978-1-5825-5446-4</t>
  </si>
  <si>
    <t>1-4511-0918-0</t>
  </si>
  <si>
    <t>1-5825-5348-3</t>
  </si>
  <si>
    <t>01437397</t>
  </si>
  <si>
    <t>Berek &amp; Hacker's Gynecologic Oncology</t>
  </si>
  <si>
    <t>978-0-7817-4097-5</t>
  </si>
  <si>
    <t>978-1-6054-7667-4</t>
  </si>
  <si>
    <t>1-4963-7465-7</t>
  </si>
  <si>
    <t>Endoscopic Paranasal Sinus Surgery</t>
  </si>
  <si>
    <t>978-1-5825-5678-9</t>
  </si>
  <si>
    <t>00140040</t>
  </si>
  <si>
    <t>978-0-7817-6707-1</t>
  </si>
  <si>
    <t>978-1-5825-5701-4</t>
  </si>
  <si>
    <t>0-7817-9613-X</t>
  </si>
  <si>
    <t>Pleural Diseases</t>
  </si>
  <si>
    <t>0-7817-6854-3</t>
  </si>
  <si>
    <t>Atlas of Pathophysiology</t>
  </si>
  <si>
    <t>978-0-7817-9738-2</t>
  </si>
  <si>
    <t>0-7817-5046-6</t>
  </si>
  <si>
    <t>01720563</t>
  </si>
  <si>
    <t>978-1-5825-5379-5</t>
  </si>
  <si>
    <t>978-0-7817-9970-6</t>
  </si>
  <si>
    <t>Cardiopulmonary Bypass: Principles and Practice</t>
  </si>
  <si>
    <t>01256989</t>
  </si>
  <si>
    <t>01382466</t>
  </si>
  <si>
    <t>978-1-5825-5359-7</t>
  </si>
  <si>
    <t>SkillMasters: Expert ECG Interpretation</t>
  </si>
  <si>
    <t>Department of Surgery, Washington University School of Medicine. Published by Lippincott Williams &amp; Wilkins</t>
  </si>
  <si>
    <t>1-6083-1275-5</t>
  </si>
  <si>
    <t>01382892</t>
  </si>
  <si>
    <t>978-0-7817-9146-5</t>
  </si>
  <si>
    <t>Oski's Pediatric Certification and Recertification Board Review</t>
  </si>
  <si>
    <t>01437573</t>
  </si>
  <si>
    <t>01382472</t>
  </si>
  <si>
    <t>978-0-7817-4448-5</t>
  </si>
  <si>
    <t>ECG Interpretation: An Incredibly Easy! Pocket Guide</t>
  </si>
  <si>
    <t>Handbook of Pathophysiology</t>
  </si>
  <si>
    <t>1-5825-5687-3</t>
  </si>
  <si>
    <t>01382831</t>
  </si>
  <si>
    <t>01437419</t>
  </si>
  <si>
    <t>1-6083-1630-0</t>
  </si>
  <si>
    <t>0-7817-4089-4</t>
  </si>
  <si>
    <t>01250445</t>
  </si>
  <si>
    <t>Primary Care Medicine Recommendations</t>
  </si>
  <si>
    <t>01438846</t>
  </si>
  <si>
    <t>978-1-6083-1054-8</t>
  </si>
  <si>
    <t>5-Minute Clinical Consult 2014, The</t>
  </si>
  <si>
    <t>1-4511-5023-7</t>
  </si>
  <si>
    <t>Pathology of Bone Marrow and Blood Cells</t>
  </si>
  <si>
    <t>01382739</t>
  </si>
  <si>
    <t>Kaplan's Clinical Hypertension</t>
  </si>
  <si>
    <t>Nursing in a Flash</t>
  </si>
  <si>
    <t>978-0-7817-7910-4</t>
  </si>
  <si>
    <t>I.V. Therapy: An Incredibly Easy! Pocket Guide</t>
  </si>
  <si>
    <t>01745927</t>
  </si>
  <si>
    <t>1-4511-4312-5</t>
  </si>
  <si>
    <t>01382721</t>
  </si>
  <si>
    <t>Tactical Emergency Medicine</t>
  </si>
  <si>
    <t>Pediatric Neuropsychiatry</t>
  </si>
  <si>
    <t>01223037</t>
  </si>
  <si>
    <t>Straight A's in Maternal-Neonatal Nursing</t>
  </si>
  <si>
    <t>Atlas of Vascular Anatomy: An Angiographic Approach</t>
  </si>
  <si>
    <t>978-1-5825-5799-1</t>
  </si>
  <si>
    <t>01276486</t>
  </si>
  <si>
    <t>Cancer Chemotherapy &amp; Biotherapy: Principles &amp; Practices</t>
  </si>
  <si>
    <t>01382736</t>
  </si>
  <si>
    <t>1-6083-1911-3</t>
  </si>
  <si>
    <t>978-0-7817-1659-8</t>
  </si>
  <si>
    <t>978-0-7817-7795-7</t>
  </si>
  <si>
    <t>01412535</t>
  </si>
  <si>
    <t>01222993</t>
  </si>
  <si>
    <t>01337349</t>
  </si>
  <si>
    <t>01279729</t>
  </si>
  <si>
    <t>01276468</t>
  </si>
  <si>
    <t>1-6054-7065-1</t>
  </si>
  <si>
    <t>00139864</t>
  </si>
  <si>
    <t>Evidence-Based Endocrinology</t>
  </si>
  <si>
    <t>01382476</t>
  </si>
  <si>
    <t>978-0-7817-9839-6</t>
  </si>
  <si>
    <t>0-7817-8282-1</t>
  </si>
  <si>
    <t>01382657</t>
  </si>
  <si>
    <t>978-1-5825-5946-9</t>
  </si>
  <si>
    <t>1-6083-1753-6</t>
  </si>
  <si>
    <t>Handbook of Urology: Diagnosis &amp; Therapy</t>
  </si>
  <si>
    <t>1-6054-7159-3</t>
  </si>
  <si>
    <t>00139866</t>
  </si>
  <si>
    <t>Foundations of Osteopathic Medicine: Published under the auspices of the American Osteopathic Association</t>
  </si>
  <si>
    <t>01382746</t>
  </si>
  <si>
    <t>01439396</t>
  </si>
  <si>
    <t>01337912</t>
  </si>
  <si>
    <t>0-7817-2408-2</t>
  </si>
  <si>
    <t>978-1-5825-5687-1</t>
  </si>
  <si>
    <t>978-1-5825-5683-3</t>
  </si>
  <si>
    <t>01337669</t>
  </si>
  <si>
    <t>978-1-5825-5442-6</t>
  </si>
  <si>
    <t>Principles of Manual Sports Medicine</t>
  </si>
  <si>
    <t>Editor's Handbook, The</t>
  </si>
  <si>
    <t>01382606</t>
  </si>
  <si>
    <t>978-1-6054-7723-7</t>
  </si>
  <si>
    <t>Smolin and Thoft's The Cornea: Scientific Foundations and Clinical Practice</t>
  </si>
  <si>
    <t>978-0-7817-4385-3</t>
  </si>
  <si>
    <t>0-7817-2046-X</t>
  </si>
  <si>
    <t>978-1-6083-1431-7</t>
  </si>
  <si>
    <t>978-0-7817-7957-9</t>
  </si>
  <si>
    <t>01382818</t>
  </si>
  <si>
    <t>01412548</t>
  </si>
  <si>
    <t>01437501</t>
  </si>
  <si>
    <t>01438899</t>
  </si>
  <si>
    <t>ECG Interpretation: A 2-in-1 Reference for Nurses</t>
  </si>
  <si>
    <t>0-7817-4892-5</t>
  </si>
  <si>
    <t>00139948</t>
  </si>
  <si>
    <t>Own the Boards: Rapid Internal Medicine Board Review and Recertification Guide</t>
  </si>
  <si>
    <t>01257029</t>
  </si>
  <si>
    <t>978-1-5825-5706-9</t>
  </si>
  <si>
    <t>978-0-7817-6422-3</t>
  </si>
  <si>
    <t>Psychiatry: 1,200 Questions to Help You Pass the Boards</t>
  </si>
  <si>
    <t>01382793</t>
  </si>
  <si>
    <t>Bethesda Handbook of Clinical Hematology</t>
  </si>
  <si>
    <t>978-0-7817-5585-6</t>
  </si>
  <si>
    <t>01382785</t>
  </si>
  <si>
    <t>978-0-7817-4491-1</t>
  </si>
  <si>
    <t>978-0-7817-4290-0</t>
  </si>
  <si>
    <t>Breath Sounds Made Incredibly Easy!</t>
  </si>
  <si>
    <t>01222989</t>
  </si>
  <si>
    <t>01436897</t>
  </si>
  <si>
    <t>0-7817-7862-X</t>
  </si>
  <si>
    <t>978-1-6054-7976-7</t>
  </si>
  <si>
    <t>01382539</t>
  </si>
  <si>
    <t>28th_Edition</t>
  </si>
  <si>
    <t>978-0-7817-4150-7</t>
  </si>
  <si>
    <t>978-0-7817-5499-6</t>
  </si>
  <si>
    <t>0-6833-0736-3</t>
  </si>
  <si>
    <t>978-1-6083-1276-4</t>
  </si>
  <si>
    <t>978-0-7817-7424-6</t>
  </si>
  <si>
    <t>0-7817-5498-4</t>
  </si>
  <si>
    <t>Pocket Pediatrics: the Massachusetts General Hospital for Children handbook of pediatrics</t>
  </si>
  <si>
    <t>01266019</t>
  </si>
  <si>
    <t>0-7817-7802-6</t>
  </si>
  <si>
    <t>0-7817-5753-3</t>
  </si>
  <si>
    <t>Rehabilitation of the Spine: A Practitioner's Manual</t>
  </si>
  <si>
    <t>Civetta, Taylor, &amp; Kirby's: Critical Care</t>
  </si>
  <si>
    <t>978-1-6091-3422-8</t>
  </si>
  <si>
    <t>978-0-7817-4748-6</t>
  </si>
  <si>
    <t>0-7817-5324-4</t>
  </si>
  <si>
    <t>Fibromyalgia and Other Central Pain Syndromes</t>
  </si>
  <si>
    <t>LPN Expert Guides: Fluids and Electrolytes</t>
  </si>
  <si>
    <t>0-7817-8043-8</t>
  </si>
  <si>
    <t>01382613</t>
  </si>
  <si>
    <t>01382715</t>
  </si>
  <si>
    <t>01735161</t>
  </si>
  <si>
    <t>01257039</t>
  </si>
  <si>
    <t>978-1-6083-1284-9</t>
  </si>
  <si>
    <t>978-0-7817-5624-2</t>
  </si>
  <si>
    <t>Michigan Manual of Plastic Surgery</t>
  </si>
  <si>
    <t>0-7817-4185-8</t>
  </si>
  <si>
    <t>Operative Techniques in Hand, Wrist, and Forearm Surgery</t>
  </si>
  <si>
    <t>Adult Reconstruction</t>
  </si>
  <si>
    <t>978-0-7817-9307-0</t>
  </si>
  <si>
    <t>978-0-7817-4077-7</t>
  </si>
  <si>
    <t>0-7817-9141-3</t>
  </si>
  <si>
    <t>Johns Hopkins Textbook of Dyslipidemia, The</t>
  </si>
  <si>
    <t>1-5825-5237-1</t>
  </si>
  <si>
    <t>978-1-5825-5521-8</t>
  </si>
  <si>
    <t>01436891</t>
  </si>
  <si>
    <t>978-1-4511-9387-9</t>
  </si>
  <si>
    <t>978-0-7817-3905-4</t>
  </si>
  <si>
    <t>01337213</t>
  </si>
  <si>
    <t>0-7817-8911-7</t>
  </si>
  <si>
    <t>Mastery of Vascular and Endovascular Surgery: An Illustrated Review (Mastery of Vascular and Endovascular Surgery (Zelenock))</t>
  </si>
  <si>
    <t>Biopsy Interpretation of the Skin: Primary Non-Lymphoid Cutaneous Neoplasia</t>
  </si>
  <si>
    <t>978-0-7817-9844-0</t>
  </si>
  <si>
    <t>Dosage Calculations: An Incredibly Easy! Workout</t>
  </si>
  <si>
    <t>978-1-6091-3604-8</t>
  </si>
  <si>
    <t>978-0-7817-9909-6</t>
  </si>
  <si>
    <t>0-7817-5126-8</t>
  </si>
  <si>
    <t>978-0-7817-8824-3</t>
  </si>
  <si>
    <t>978-1-6054-7885-2</t>
  </si>
  <si>
    <t>0-7817-4376-1</t>
  </si>
  <si>
    <t>01279726</t>
  </si>
  <si>
    <t>0-7817-7930-8</t>
  </si>
  <si>
    <t>1-4511-1553-9</t>
  </si>
  <si>
    <t>978-0-7817-4996-1</t>
  </si>
  <si>
    <t>978-0-7817-7385-0</t>
  </si>
  <si>
    <t>Lippincott WIlliams &amp; Wilkins - a Wolters Kluwer business (Copyright 2010 by Lynda Juall Carpenito-Moyet.)</t>
  </si>
  <si>
    <t>01257004</t>
  </si>
  <si>
    <t>Handbook of Psychiatric Drug Therapy</t>
  </si>
  <si>
    <t>01382822</t>
  </si>
  <si>
    <t>0-7817-9205-3</t>
  </si>
  <si>
    <t>978-0-7817-9155-7</t>
  </si>
  <si>
    <t>01382735</t>
  </si>
  <si>
    <t>978-0-7817-5253-4</t>
  </si>
  <si>
    <t>978-1-5825-5454-9</t>
  </si>
  <si>
    <t>978-0-7817-4525-3</t>
  </si>
  <si>
    <t>978-1-5825-5281-1</t>
  </si>
  <si>
    <t>1-6054-7667-6</t>
  </si>
  <si>
    <t>Clinical Gynecologic Endocrinology &amp; Infertility</t>
  </si>
  <si>
    <t>01337347</t>
  </si>
  <si>
    <t>978-0-7817-4136-1</t>
  </si>
  <si>
    <t>978-0-7817-4865-0</t>
  </si>
  <si>
    <t>978-1-5825-5302-3</t>
  </si>
  <si>
    <t>978-0-7817-5770-6</t>
  </si>
  <si>
    <t>01382868</t>
  </si>
  <si>
    <t>Cardiovascular Care Made Incredibly Easy!</t>
  </si>
  <si>
    <t>0-7817-9935-X</t>
  </si>
  <si>
    <t>978-0-7817-9512-8</t>
  </si>
  <si>
    <t>00139865</t>
  </si>
  <si>
    <t>01382862</t>
  </si>
  <si>
    <t>Color Atlas of Differential Diagnosis In Exfoliative and Aspiration Cytopathology</t>
  </si>
  <si>
    <t>Crucial Principles in Care of the Knee, The</t>
  </si>
  <si>
    <t>1-6083-1467-7</t>
  </si>
  <si>
    <t>Clinical Breast Imaging: A Patient Focused Teaching File</t>
  </si>
  <si>
    <t>01437555</t>
  </si>
  <si>
    <t>978-0-7817-9506-7</t>
  </si>
  <si>
    <t>01382758</t>
  </si>
  <si>
    <t>1-5825-5403-X</t>
  </si>
  <si>
    <t>2007_Edition</t>
  </si>
  <si>
    <t>978-0-7817-5189-6</t>
  </si>
  <si>
    <t>Parietal Lobe, The</t>
  </si>
  <si>
    <t>978-0-7817-5048-6</t>
  </si>
  <si>
    <t>0-7817-4707-4</t>
  </si>
  <si>
    <t>01382488</t>
  </si>
  <si>
    <t>01382629</t>
  </si>
  <si>
    <t>01279758</t>
  </si>
  <si>
    <t>01382416</t>
  </si>
  <si>
    <t>Proton and Charged Particle Radiotherapy</t>
  </si>
  <si>
    <t>Perspectives in Cross-Cultural Psychiatry</t>
  </si>
  <si>
    <t>RN Expert Guides: Respiratory Care</t>
  </si>
  <si>
    <t>Manual of Ocular Diagnosis and Therapy</t>
  </si>
  <si>
    <t>Psychosomatic Medicine: A Practical Guide</t>
  </si>
  <si>
    <t>Adult &amp; Pediatric Spine, The</t>
  </si>
  <si>
    <t>1-5825-5532-X</t>
  </si>
  <si>
    <t>978-1-5825-5665-9</t>
  </si>
  <si>
    <t>1-5825-5177-4</t>
  </si>
  <si>
    <t>01382680</t>
  </si>
  <si>
    <t>978-1-5825-5615-4</t>
  </si>
  <si>
    <t>0-7817-4307-9</t>
  </si>
  <si>
    <t>0-7817-5427-5</t>
  </si>
  <si>
    <t>01382530</t>
  </si>
  <si>
    <t>Master Techniques in Orthopaedic Surgery: Knee Arthroplasty</t>
  </si>
  <si>
    <t>Essential Forensic Neuropathology</t>
  </si>
  <si>
    <t>0-7817-3247-6</t>
  </si>
  <si>
    <t>01260173</t>
  </si>
  <si>
    <t>978-1-4963-3851-8</t>
  </si>
  <si>
    <t>1-4511-0960-1</t>
  </si>
  <si>
    <t>0-7817-7395-4</t>
  </si>
  <si>
    <t>978-1-6083-1078-4</t>
  </si>
  <si>
    <t>0-7817-4331-1</t>
  </si>
  <si>
    <t>1-4511-1455-9</t>
  </si>
  <si>
    <t>978-0-7817-1991-9</t>
  </si>
  <si>
    <t>978-1-6054-7250-8</t>
  </si>
  <si>
    <t>00139957</t>
  </si>
  <si>
    <t>Visual Diagnosis and Treatment in Pediatrics</t>
  </si>
  <si>
    <t>978-0-6833-0736-8</t>
  </si>
  <si>
    <t>0-7817-4124-6</t>
  </si>
  <si>
    <t>978-1-6091-3337-5</t>
  </si>
  <si>
    <t>Dynamic Ophthalmic Ultrasonography: A Video Atlas for Ophthalmologists and Imaging Technicians</t>
  </si>
  <si>
    <t>1-5825-5339-4</t>
  </si>
  <si>
    <t>01257021</t>
  </si>
  <si>
    <t>Master Techniques in Orthopaedic Surgery: The Wrist</t>
  </si>
  <si>
    <t>1-6054-7027-9</t>
  </si>
  <si>
    <t>01256969</t>
  </si>
  <si>
    <t>0-7817-4614-0</t>
  </si>
  <si>
    <t>0-7817-6383-5</t>
  </si>
  <si>
    <t>01382626</t>
  </si>
  <si>
    <t>Professional Guide to Diseases</t>
  </si>
  <si>
    <t>978-0-7817-7608-0</t>
  </si>
  <si>
    <t>00139883</t>
  </si>
  <si>
    <t>01382857</t>
  </si>
  <si>
    <t>Neurology Review for Psychiatrists</t>
  </si>
  <si>
    <t>978-0-7817-9203-5</t>
  </si>
  <si>
    <t>01412537</t>
  </si>
  <si>
    <t>Avoiding Common Obstetrics and Gynecology Errors</t>
  </si>
  <si>
    <t>978-0-7817-9378-0</t>
  </si>
  <si>
    <t>01626615</t>
  </si>
  <si>
    <t>0-6833-0477-1</t>
  </si>
  <si>
    <t>01382877</t>
  </si>
  <si>
    <t>1-4511-2837-1</t>
  </si>
  <si>
    <t>01382743</t>
  </si>
  <si>
    <t>01279702</t>
  </si>
  <si>
    <t>01382574</t>
  </si>
  <si>
    <t>0-7817-5812-2</t>
  </si>
  <si>
    <t>978-1-6054-7749-7</t>
  </si>
  <si>
    <t>978-0-7817-5102-5</t>
  </si>
  <si>
    <t>Atlas of Adult Physical Diagnosis</t>
  </si>
  <si>
    <t>978-0-7817-7848-0</t>
  </si>
  <si>
    <t>0-7817-6552-8</t>
  </si>
  <si>
    <t>0-7817-6827-6</t>
  </si>
  <si>
    <t>01438876</t>
  </si>
  <si>
    <t>Nurse's Quick Check: Diagnostic Tests</t>
  </si>
  <si>
    <t>Anesthesia for Genetic, Metabolic, and Dysmorphic Syndromes of Childhood</t>
  </si>
  <si>
    <t>978-0-7817-6974-7</t>
  </si>
  <si>
    <t>01257023</t>
  </si>
  <si>
    <t>Lippincott's Primary Care Rheumatology</t>
  </si>
  <si>
    <t>978-0-7817-9099-4</t>
  </si>
  <si>
    <t>978-0-7817-7674-5</t>
  </si>
  <si>
    <t>Rapid Assessment, A Flowchart Guide to Evaluating Signs &amp; Symptoms</t>
  </si>
  <si>
    <t>Master Techniques in Orthopaedic Surgery: The Shoulder</t>
  </si>
  <si>
    <t>01382775</t>
  </si>
  <si>
    <t>Disaster Medicine</t>
  </si>
  <si>
    <t>01382865</t>
  </si>
  <si>
    <t>0-7817-5777-0</t>
  </si>
  <si>
    <t>LPN Facts Made Incredibly Quick</t>
  </si>
  <si>
    <t>01857010</t>
  </si>
  <si>
    <t>01382521</t>
  </si>
  <si>
    <t>Macnab's Backache</t>
  </si>
  <si>
    <t>978-0-7817-8275-3</t>
  </si>
  <si>
    <t>01256994</t>
  </si>
  <si>
    <t>0-7817-3605-6</t>
  </si>
  <si>
    <t>978-0-7817-9559-3</t>
  </si>
  <si>
    <t>Studying a Study &amp; Testing a Test: How to Read the Medical Evidence</t>
  </si>
  <si>
    <t>978-0-3975-8421-5</t>
  </si>
  <si>
    <t>1-6054-7144-5</t>
  </si>
  <si>
    <t>978-0-7817-4142-2</t>
  </si>
  <si>
    <t>978-0-7817-5285-5</t>
  </si>
  <si>
    <t>Musculoskeletal Imaging: A Teaching File</t>
  </si>
  <si>
    <t>Maternal-Neonatal Facts Made Incredibly Quick!</t>
  </si>
  <si>
    <t>Biopsy Interpretation of the Central Nervous System</t>
  </si>
  <si>
    <t>01317194</t>
  </si>
  <si>
    <t>01223042</t>
  </si>
  <si>
    <t>978-0-7817-9557-9</t>
  </si>
  <si>
    <t>978-1-6054-7911-8</t>
  </si>
  <si>
    <t>978-0-7817-7829-9</t>
  </si>
  <si>
    <t>0-7817-4749-X</t>
  </si>
  <si>
    <t>0-7817-9909-0</t>
  </si>
  <si>
    <t>Psychotic Disorders: A Practical Guide</t>
  </si>
  <si>
    <t>01382734</t>
  </si>
  <si>
    <t>01276471</t>
  </si>
  <si>
    <t>0-7817-3652-8</t>
  </si>
  <si>
    <t>978-1-6091-3649-9</t>
  </si>
  <si>
    <t>01257016</t>
  </si>
  <si>
    <t>978-0-7817-4509-3</t>
  </si>
  <si>
    <t>978-0-7817-7871-8</t>
  </si>
  <si>
    <t>0-7817-6385-1</t>
  </si>
  <si>
    <t>0-7817-6064-X</t>
  </si>
  <si>
    <t>Antibiotics in Laboratory Medicine</t>
  </si>
  <si>
    <t>Harborview Illustrated Tips and Tricks in Fracture Surgery</t>
  </si>
  <si>
    <t>01382778</t>
  </si>
  <si>
    <t>Patterson's Allergic Diseases</t>
  </si>
  <si>
    <t>Sapira's Art &amp; Science of Bedside Diagnosis</t>
  </si>
  <si>
    <t>0-7817-7829-8</t>
  </si>
  <si>
    <t>0-7817-7468-3</t>
  </si>
  <si>
    <t>Epilepsy in Children</t>
  </si>
  <si>
    <t>01279705</t>
  </si>
  <si>
    <t>0-7817-7982-0</t>
  </si>
  <si>
    <t>978-0-7817-8943-1</t>
  </si>
  <si>
    <t>01382781</t>
  </si>
  <si>
    <t>Clinical Scenarios in Surgery: Decision Making and Operative Technique</t>
  </si>
  <si>
    <t>978-0-7817-4149-1</t>
  </si>
  <si>
    <t>Master Techniques in Orthopaedic Surgery: Orthopaedic Oncology and Complex Reconstruction</t>
  </si>
  <si>
    <t>0-7817-4123-8</t>
  </si>
  <si>
    <t>00139928</t>
  </si>
  <si>
    <t>0-7817-6215-4</t>
  </si>
  <si>
    <t>978-1-5825-5167-8</t>
  </si>
  <si>
    <t>Sports Medicine</t>
  </si>
  <si>
    <t>978-0-7817-5093-6</t>
  </si>
  <si>
    <t>978-0-7817-9992-8</t>
  </si>
  <si>
    <t>Manual of Nutritional Therapeutics</t>
  </si>
  <si>
    <t>Moss &amp; Adams' Heart Disease in Infants, Children &amp; Adolescents: Including the Fetus and Young Adults</t>
  </si>
  <si>
    <t>978-0-7817-6779-8</t>
  </si>
  <si>
    <t>Anatomy &amp; Physiology Made Incredibly Visual!</t>
  </si>
  <si>
    <t>978-0-7817-5180-3</t>
  </si>
  <si>
    <t>01382527</t>
  </si>
  <si>
    <t>Joslin's Diabetes Mellitus</t>
  </si>
  <si>
    <t>01382510</t>
  </si>
  <si>
    <t>Primary Care</t>
  </si>
  <si>
    <t>Concise Guide to Orthopaedic &amp; Musculoskeletal Impairment Ratings, A</t>
  </si>
  <si>
    <t>01634988</t>
  </si>
  <si>
    <t>01256979</t>
  </si>
  <si>
    <t>978-0-7817-8454-2</t>
  </si>
  <si>
    <t>1-6091-3649-7</t>
  </si>
  <si>
    <t>Orthospinology Procedures: An Evidenced-Based Approach to Spinal Care</t>
  </si>
  <si>
    <t>978-1-6083-1719-6</t>
  </si>
  <si>
    <t>01382624</t>
  </si>
  <si>
    <t>Operative Techniques in Laparoscopic Colorectal Surgery</t>
  </si>
  <si>
    <t>01337673</t>
  </si>
  <si>
    <t>Adolescent Medicine: A Handbook for Primary Care</t>
  </si>
  <si>
    <t>01382771</t>
  </si>
  <si>
    <t>0-7817-7795-X</t>
  </si>
  <si>
    <t>01279759</t>
  </si>
  <si>
    <t>978-1-6054-7530-1</t>
  </si>
  <si>
    <t>Radiation Oncology: A Question-Based Review</t>
  </si>
  <si>
    <t>0-7817-9124-3</t>
  </si>
  <si>
    <t>1-5825-5664-4</t>
  </si>
  <si>
    <t>Surgical Anatomy of the Hand and Upper Extremity</t>
  </si>
  <si>
    <t>978-1-4511-2837-6</t>
  </si>
  <si>
    <t>01435746</t>
  </si>
  <si>
    <t>Acupuncture for Musculoskeletal Medicine</t>
  </si>
  <si>
    <t>0-7817-8400-X</t>
  </si>
  <si>
    <t>978-0-7817-6884-9</t>
  </si>
  <si>
    <t>Medical Response to Terrorism: Preparedness and Clinical Practice</t>
  </si>
  <si>
    <t>Primo Gastro: The Pocket GI/Liver Companion</t>
  </si>
  <si>
    <t>978-1-5825-5243-9</t>
  </si>
  <si>
    <t>978-0-7817-6106-2</t>
  </si>
  <si>
    <t>1-5825-5849-3</t>
  </si>
  <si>
    <t>978-0-7817-6480-3</t>
  </si>
  <si>
    <t>Atlas of Polysomnography</t>
  </si>
  <si>
    <t>01436979</t>
  </si>
  <si>
    <t>1-4511-0154-6</t>
  </si>
  <si>
    <t>Postcards of Nursing, A Worldwide Tribute</t>
  </si>
  <si>
    <t>01437581</t>
  </si>
  <si>
    <t>978-0-7817-2767-9</t>
  </si>
  <si>
    <t>0-7817-8569-3</t>
  </si>
  <si>
    <t>Best Practices: Evidence-Based Nursing Procedures</t>
  </si>
  <si>
    <t>978-0-7817-7588-5</t>
  </si>
  <si>
    <t>01437575</t>
  </si>
  <si>
    <t>ISBN-10</t>
  </si>
  <si>
    <t>978-0-7817-3052-5</t>
  </si>
  <si>
    <t>0-7817-7482-9</t>
  </si>
  <si>
    <t>Respiratory Care Made Incredibly Easy!</t>
  </si>
  <si>
    <t>01412565</t>
  </si>
  <si>
    <t>Neuropsychopharmacology: The Fifth Generation of Progress: An Official Publication of the American College of Neuropsychopharmacology</t>
  </si>
  <si>
    <t>01382864</t>
  </si>
  <si>
    <t>Pediatric Endocrinology: Mechanisms, Manifestations, and Management</t>
  </si>
  <si>
    <t>0-7817-7095-5</t>
  </si>
  <si>
    <t>01437566</t>
  </si>
  <si>
    <t>01382601</t>
  </si>
  <si>
    <t>Auscultation Skills: Breath &amp; Heart Sounds</t>
  </si>
  <si>
    <t>1-5825-5464-1</t>
  </si>
  <si>
    <t>JDME-PB-E14</t>
  </si>
  <si>
    <t>0-7817-4718-X</t>
  </si>
  <si>
    <t>Moss and Adams' Heart Disease in Infants, Children, and Adolescents: Including the Fetus and Young Adult</t>
  </si>
  <si>
    <t>978-0-7817-6515-2</t>
  </si>
  <si>
    <t>0-7817-9707-1</t>
  </si>
  <si>
    <t>978-0-7817-5532-0</t>
  </si>
  <si>
    <t>Current Practice of Clinical Electroencephalography</t>
  </si>
  <si>
    <t>978-1-5825-5864-6</t>
  </si>
  <si>
    <t>Bethesda Handbook of Clinical Oncology</t>
  </si>
  <si>
    <t>Atlas of Transesophageal Echocardiography</t>
  </si>
  <si>
    <t>978-0-7817-1512-6</t>
  </si>
  <si>
    <t>01382668</t>
  </si>
  <si>
    <t>Drug Interactions in Psychiatry</t>
  </si>
  <si>
    <t>1-5825-5591-5</t>
  </si>
  <si>
    <t>Alzheimer Disease and Other Dementias: A Practical Guide</t>
  </si>
  <si>
    <t>0-7817-5624-3</t>
  </si>
  <si>
    <t>Pediatric Neurology: Essentials for General Practice</t>
  </si>
  <si>
    <t>00140011</t>
  </si>
  <si>
    <t>978-0-7817-3731-9</t>
  </si>
  <si>
    <t>01429602</t>
  </si>
  <si>
    <t>01222898</t>
  </si>
  <si>
    <t>978-1-5825-5539-3</t>
  </si>
  <si>
    <t>01382453</t>
  </si>
  <si>
    <t>978-0-7817-7922-7</t>
  </si>
  <si>
    <t>978-0-7817-7315-7</t>
  </si>
  <si>
    <t>Atlas of Oculoplastic and Orbital Surgery</t>
  </si>
  <si>
    <t>978-0-7817-1781-6</t>
  </si>
  <si>
    <t>0-7817-5096-2</t>
  </si>
  <si>
    <t>978-1-5825-5651-2</t>
  </si>
  <si>
    <t>1-6054-7640-4</t>
  </si>
  <si>
    <t>Harley's Pediatric Ophthalmology</t>
  </si>
  <si>
    <t>978-0-7817-5755-3</t>
  </si>
  <si>
    <t>978-0-7817-4986-2</t>
  </si>
  <si>
    <t>978-1-4511-7628-5</t>
  </si>
  <si>
    <t>1-4511-0938-5</t>
  </si>
  <si>
    <t>Arthroscopic Knot Tying: An Instruction Manual</t>
  </si>
  <si>
    <t>01279731</t>
  </si>
  <si>
    <t>0-7817-4631-0</t>
  </si>
  <si>
    <t>01382480</t>
  </si>
  <si>
    <t>Nursing 2014 Drug Handbook</t>
  </si>
  <si>
    <t>978-0-7817-6876-4</t>
  </si>
  <si>
    <t>Variants and Pitfalls in Body Imaging: Thoracic, Abdominal and Women's Imaging</t>
  </si>
  <si>
    <t>978-0-7817-8939-4</t>
  </si>
  <si>
    <t>Jumpstart</t>
  </si>
  <si>
    <t>1-4511-8374-7</t>
  </si>
  <si>
    <t>Diabetes Mellitus in Women: Adolescence, Pregnancy, and Menopause</t>
  </si>
  <si>
    <t>978-0-7817-6562-6</t>
  </si>
  <si>
    <t>Evidence-Based Eye Care</t>
  </si>
  <si>
    <t>01437553</t>
  </si>
  <si>
    <t>978-1-4511-8851-6</t>
  </si>
  <si>
    <t>978-0-7817-6602-9</t>
  </si>
  <si>
    <t>01222979</t>
  </si>
  <si>
    <t>01382640</t>
  </si>
  <si>
    <t>0-7817-8270-8</t>
  </si>
  <si>
    <t>01279768</t>
  </si>
  <si>
    <t>Massachusetts General Hospital Handbook of Neurology, The</t>
  </si>
  <si>
    <t>Therapy for Ocular Angiogenesis: Principles and Practice</t>
  </si>
  <si>
    <t>978-0-7817-2606-1</t>
  </si>
  <si>
    <t>978-0-7817-7944-9</t>
  </si>
  <si>
    <t>Atlas of Oculofacial Reconstruction: Principles &amp; Techniques for the Repair of Periocular Defects</t>
  </si>
  <si>
    <t>01382543</t>
  </si>
  <si>
    <t>0-7817-2943-2</t>
  </si>
  <si>
    <t>978-0-7817-6947-1</t>
  </si>
  <si>
    <t>01735157</t>
  </si>
  <si>
    <t>Introductory Guide to Cardiac CT Imaging</t>
  </si>
  <si>
    <t>978-1-5825-5707-6</t>
  </si>
  <si>
    <t>LPN Expert Guides: I.V. Therapy</t>
  </si>
  <si>
    <t>978-1-6083-1617-5</t>
  </si>
  <si>
    <t>978-0-7817-4207-8</t>
  </si>
  <si>
    <t>978-0-7817-3861-3</t>
  </si>
  <si>
    <t>01382691</t>
  </si>
  <si>
    <t>01279699</t>
  </si>
  <si>
    <t>978-0-7817-7395-9</t>
  </si>
  <si>
    <t>978-1-6083-1444-7</t>
  </si>
  <si>
    <t>978-1-5825-5629-1</t>
  </si>
  <si>
    <t>978-0-7817-5277-0</t>
  </si>
  <si>
    <t>01429419</t>
  </si>
  <si>
    <t>0-7817-6165-4</t>
  </si>
  <si>
    <t>CMSA Core Curriculum for Case Management</t>
  </si>
  <si>
    <t>978-1-6083-1740-0</t>
  </si>
  <si>
    <t>01437105</t>
  </si>
  <si>
    <t>Massachusetts Eye and Ear Infirmary Review Manual for Ophthalmology, The</t>
  </si>
  <si>
    <t>Pediatric Sonography</t>
  </si>
  <si>
    <t>01382664</t>
  </si>
  <si>
    <t>1-4511-1594-6</t>
  </si>
  <si>
    <t>00140002</t>
  </si>
  <si>
    <t>01382459</t>
  </si>
  <si>
    <t>978-0-7817-4586-4</t>
  </si>
  <si>
    <t>978-1-5825-5173-9</t>
  </si>
  <si>
    <t>Straight A's in Nursing Pharmacology</t>
  </si>
  <si>
    <t>01438896</t>
  </si>
  <si>
    <t>978-0-7817-2774-7</t>
  </si>
  <si>
    <t>978-0-7817-8263-0</t>
  </si>
  <si>
    <t>01412542</t>
  </si>
  <si>
    <t>01382761</t>
  </si>
  <si>
    <t>978-0-7817-3894-1</t>
  </si>
  <si>
    <t>0-7817-2698-0</t>
  </si>
  <si>
    <t>0-6833-0654-5</t>
  </si>
  <si>
    <t>1-4511-1091-X</t>
  </si>
  <si>
    <t>978-0-7817-6311-0</t>
  </si>
  <si>
    <t>Psychiatric Nursing Made Incredibly Easy!</t>
  </si>
  <si>
    <t>5-Minute Clinical Consult 2010, The</t>
  </si>
  <si>
    <t>01626598</t>
  </si>
  <si>
    <t>978-0-7817-7379-9</t>
  </si>
  <si>
    <t>Pathophysiology: A 2-in-1 Reference for Nurses</t>
  </si>
  <si>
    <t>0-7817-7032-7</t>
  </si>
  <si>
    <t>0-7817-8620-7</t>
  </si>
  <si>
    <t>978-1-4511-1304-4</t>
  </si>
  <si>
    <t>01436866</t>
  </si>
  <si>
    <t>978-0-7817-9836-5</t>
  </si>
  <si>
    <t>978-0-7817-5650-1</t>
  </si>
  <si>
    <t>978-0-7817-4376-1</t>
  </si>
  <si>
    <t>00139925</t>
  </si>
  <si>
    <t>01382709</t>
  </si>
  <si>
    <t>978-0-7817-3655-8</t>
  </si>
  <si>
    <t>34th_Edition</t>
  </si>
  <si>
    <t>978-0-7817-6899-3</t>
  </si>
  <si>
    <t>1-5825-5414-5</t>
  </si>
  <si>
    <t>1-6083-1109-0</t>
  </si>
  <si>
    <t>01382631</t>
  </si>
  <si>
    <t>Maternal-Neonatal Nursing Made Incredibly Easy!</t>
  </si>
  <si>
    <t>01429706</t>
  </si>
  <si>
    <t>01438427</t>
  </si>
  <si>
    <t>1-6083-1352-2</t>
  </si>
  <si>
    <t>0-7817-5532-8</t>
  </si>
  <si>
    <t>1-4511-8408-5</t>
  </si>
  <si>
    <t>1-5825-5455-2</t>
  </si>
  <si>
    <t>00139924</t>
  </si>
  <si>
    <t>01257031</t>
  </si>
  <si>
    <t>978-1-5825-5538-6</t>
  </si>
  <si>
    <t>0-7817-7917-0</t>
  </si>
  <si>
    <t>978-1-4511-7547-9</t>
  </si>
  <si>
    <t>978-0-7817-9751-1</t>
  </si>
  <si>
    <t>978-1-4511-8374-0</t>
  </si>
  <si>
    <t>0-7817-6964-7</t>
  </si>
  <si>
    <t>01273126</t>
  </si>
  <si>
    <t>1-6091-3281-5</t>
  </si>
  <si>
    <t>0-7817-9964-3</t>
  </si>
  <si>
    <t>01279719</t>
  </si>
  <si>
    <t>978-0-7817-5785-0</t>
  </si>
  <si>
    <t>01437567</t>
  </si>
  <si>
    <t>Rapid Interpretation of ECGs in Emergency Medicine: A Visual Guide</t>
  </si>
  <si>
    <t>Hospital for Sick Children's, The: Atlas of Pediatric Ophthalmology &amp; Strabismus</t>
  </si>
  <si>
    <t>00140031</t>
  </si>
  <si>
    <t>978-0-7817-7861-9</t>
  </si>
  <si>
    <t>01382641</t>
  </si>
  <si>
    <t>1-5825-5319-X</t>
  </si>
  <si>
    <t>Nursing Facts Made Incredibly Quick</t>
  </si>
  <si>
    <t>978-0-7817-7095-8</t>
  </si>
  <si>
    <t>Lippincott Williams &amp; Wilkins</t>
  </si>
  <si>
    <t>5-Minute Orthopaedic Consult</t>
  </si>
  <si>
    <t>01279769</t>
  </si>
  <si>
    <t>Principles and Practice of PET and PET/CT</t>
  </si>
  <si>
    <t>Straight A's in Medical-Surgical Nursing</t>
  </si>
  <si>
    <t>Trauma Radiology Companion: Methods, Guidelines, and Imaging Fundamentals</t>
  </si>
  <si>
    <t>0-7817-6946-9</t>
  </si>
  <si>
    <t>00140013</t>
  </si>
  <si>
    <t>978-0-7817-9190-8</t>
  </si>
  <si>
    <t>978-0-7817-5313-5</t>
  </si>
  <si>
    <t>0-7817-4087-8</t>
  </si>
  <si>
    <t>978-0-7817-9206-6</t>
  </si>
  <si>
    <t>Diabetes Management in the Primary Care Setting</t>
  </si>
  <si>
    <t>0-7817-3458-4</t>
  </si>
  <si>
    <t>01912976</t>
  </si>
  <si>
    <t>0-7817-5343-0</t>
  </si>
  <si>
    <t>Clinical Guide to Autistic Spectrum Disorders, A</t>
  </si>
  <si>
    <t>0-7817-8387-9</t>
  </si>
  <si>
    <t>978-1-6091-3968-1</t>
  </si>
  <si>
    <t>Practical Guide to Fetal Echocardiography, A: Normal and Abnormal Hearts</t>
  </si>
  <si>
    <t>01279696</t>
  </si>
  <si>
    <t>978-0-7817-6763-7</t>
  </si>
  <si>
    <t>01412539</t>
  </si>
  <si>
    <t>978-1-5825-5732-8</t>
  </si>
  <si>
    <t>0-7817-5768-1</t>
  </si>
  <si>
    <t>01382572</t>
  </si>
  <si>
    <t>Portable LPN: The All-in-One Reference for Practical Nurses</t>
  </si>
  <si>
    <t>978-1-4511-9446-3</t>
  </si>
  <si>
    <t>01382596</t>
  </si>
  <si>
    <t>0-7817-6214-6</t>
  </si>
  <si>
    <t>978-0-7817-6706-4</t>
  </si>
  <si>
    <t>01382791</t>
  </si>
  <si>
    <t>01382686</t>
  </si>
  <si>
    <t>0-7817-7608-2</t>
  </si>
  <si>
    <t>VisualDx: Essential Dermatology in Pigmented Skin</t>
  </si>
  <si>
    <t>01382511</t>
  </si>
  <si>
    <t>978-1-4511-1639-7</t>
  </si>
  <si>
    <t>01382494</t>
  </si>
  <si>
    <t>Clinical Epidemiology: The Essentials</t>
  </si>
  <si>
    <t>978-0-7817-9715-3</t>
  </si>
  <si>
    <t>978-0-7817-7365-2</t>
  </si>
  <si>
    <t>1-6054-7087-2</t>
  </si>
  <si>
    <t>1-6054-7251-4</t>
  </si>
  <si>
    <t>0-7817-5455-0</t>
  </si>
  <si>
    <t>Osteoporosis: A Guide for Clinicians</t>
  </si>
  <si>
    <t>978-0-7817-7137-5</t>
  </si>
  <si>
    <t>0-7817-6974-4</t>
  </si>
  <si>
    <t>Carotid Artery Stenting: Current Practice and Techniques</t>
  </si>
  <si>
    <t>01382875</t>
  </si>
  <si>
    <t>01641744</t>
  </si>
  <si>
    <t>Complete Guide to Documentation</t>
  </si>
  <si>
    <t>01641763</t>
  </si>
  <si>
    <t>978-1-6083-1072-2</t>
  </si>
  <si>
    <t>01337299</t>
  </si>
  <si>
    <t>5-Minute Herb and Dietary Supplement Consult, The</t>
  </si>
  <si>
    <t>0-7817-9079-4</t>
  </si>
  <si>
    <t>978-1-4698-0128-5</t>
  </si>
  <si>
    <t>1-5825-5363-7</t>
  </si>
  <si>
    <t>01382752</t>
  </si>
  <si>
    <t>0-7817-5774-6</t>
  </si>
  <si>
    <t>978-1-5825-5241-5</t>
  </si>
  <si>
    <t>Textbook of Uroradiology</t>
  </si>
  <si>
    <t>01382464</t>
  </si>
  <si>
    <t>0-7817-2857-6</t>
  </si>
  <si>
    <t>978-1-6054-7643-8</t>
  </si>
  <si>
    <t>0-7817-1928-3</t>
  </si>
  <si>
    <t>978-0-7817-4496-6</t>
  </si>
  <si>
    <t>0-7817-4276-5</t>
  </si>
  <si>
    <t>1-4698-5303-5</t>
  </si>
  <si>
    <t>1-6091-3621-7</t>
  </si>
  <si>
    <t>978-0-7817-7213-6</t>
  </si>
  <si>
    <t>978-1-6091-3943-8</t>
  </si>
  <si>
    <t>1-4511-4633-7</t>
  </si>
  <si>
    <t>Operative Techniques in Orthopaedic Surgical Oncology</t>
  </si>
  <si>
    <t>978-0-7817-5203-9</t>
  </si>
  <si>
    <t>1-6054-7595-5</t>
  </si>
  <si>
    <t>Handbook of Diseases</t>
  </si>
  <si>
    <t>0-7817-8543-X</t>
  </si>
  <si>
    <t>01434792</t>
  </si>
  <si>
    <t>0-7817-6908-6</t>
  </si>
  <si>
    <t>0-7817-4613-2</t>
  </si>
  <si>
    <t>978-1-6054-7668-1</t>
  </si>
  <si>
    <t>0-7817-4637-X</t>
  </si>
  <si>
    <t>01222997</t>
  </si>
  <si>
    <t>978-0-7817-1817-2</t>
  </si>
  <si>
    <t>978-0-7817-3607-7</t>
  </si>
  <si>
    <t>01429519</t>
  </si>
  <si>
    <t>01382842</t>
  </si>
  <si>
    <t>1-4511-8851-X</t>
  </si>
  <si>
    <t>0-7817-9117-0</t>
  </si>
  <si>
    <t>Just the Facts: Fluids and Electrolytes</t>
  </si>
  <si>
    <t>01436875</t>
  </si>
  <si>
    <t>0-7817-4634-5</t>
  </si>
  <si>
    <t>978-0-7817-7727-8</t>
  </si>
  <si>
    <t>0-7817-5583-2</t>
  </si>
  <si>
    <t>01382632</t>
  </si>
  <si>
    <t>978-1-5825-5448-8</t>
  </si>
  <si>
    <t>978-1-4511-1433-1</t>
  </si>
  <si>
    <t>Diagnostic Imaging of Coronary Artery Disease</t>
  </si>
  <si>
    <t>01438842</t>
  </si>
  <si>
    <t>Cancer: Principles &amp; Practice of Oncology</t>
  </si>
  <si>
    <t>Publishing and Presenting Clinical Research</t>
  </si>
  <si>
    <t>00139918</t>
  </si>
  <si>
    <t>0-7817-6135-2</t>
  </si>
  <si>
    <t>978-0-7817-3899-6</t>
  </si>
  <si>
    <t>1-6083-1428-6</t>
  </si>
  <si>
    <t>978-0-7817-8690-4</t>
  </si>
  <si>
    <t>ECG Interpretation: An Incredibly Visual! Pocket Guide</t>
  </si>
  <si>
    <t>Lippincott's Nursing Procedures</t>
  </si>
  <si>
    <t>978-1-5825-5468-6</t>
  </si>
  <si>
    <t>00139949</t>
  </si>
  <si>
    <t>01745911</t>
  </si>
  <si>
    <t>0-7817-2997-1</t>
  </si>
  <si>
    <t>01382470</t>
  </si>
  <si>
    <t>978-0-7817-7390-4</t>
  </si>
  <si>
    <t>Textbook of Emergency Cardiovascular Care and CPR, The</t>
  </si>
  <si>
    <t>1-5825-5302-5</t>
  </si>
  <si>
    <t>1-4511-0913-X</t>
  </si>
  <si>
    <t>978-0-7817-2272-8</t>
  </si>
  <si>
    <t>978-0-7817-4309-9</t>
  </si>
  <si>
    <t>Core Curriculum, The: Pediatric Imaging</t>
  </si>
  <si>
    <t>Handbook of Pharmacology and Physiology in Anesthetic Practice</t>
  </si>
  <si>
    <t>1-6054-7665-X</t>
  </si>
  <si>
    <t>978-1-5825-5696-3</t>
  </si>
  <si>
    <t>01382707</t>
  </si>
  <si>
    <t>ASHB-PB-E05</t>
  </si>
  <si>
    <t>0-7817-6058-5</t>
  </si>
  <si>
    <t>0-7817-6374-6</t>
  </si>
  <si>
    <t>Abrams' Angiography: Interventional Radiology</t>
  </si>
  <si>
    <t>0-7817-4207-2</t>
  </si>
  <si>
    <t>01382882</t>
  </si>
  <si>
    <t>1-6083-1464-2</t>
  </si>
  <si>
    <t>01382560</t>
  </si>
  <si>
    <t>Surgical Review, The: An Integrated Basic and Clinical Science Study Guide</t>
  </si>
  <si>
    <t>978-1-5825-5631-4</t>
  </si>
  <si>
    <t>01337654</t>
  </si>
  <si>
    <t>Clinical Cardiac Electrophysiology: Techniques and Interpretations</t>
  </si>
  <si>
    <t>IOACHIM'S Lymph Node Pathology</t>
  </si>
  <si>
    <t>1-5825-5585-0</t>
  </si>
  <si>
    <t>9th_Edition</t>
  </si>
  <si>
    <t>978-0-7817-5198-8</t>
  </si>
  <si>
    <t>Breast Ultrasound</t>
  </si>
  <si>
    <t>0-7817-2980-7</t>
  </si>
  <si>
    <t>01438882</t>
  </si>
  <si>
    <t>0-7817-8754-8</t>
  </si>
  <si>
    <t>Merritt's Neurology</t>
  </si>
  <si>
    <t>0-7817-6707-5</t>
  </si>
  <si>
    <t>1-6054-7764-8</t>
  </si>
  <si>
    <t>Complex and Revision Problems in Shoulder Surgery</t>
  </si>
  <si>
    <t>978-1-6083-1172-9</t>
  </si>
  <si>
    <t>1-4511-4393-1</t>
  </si>
  <si>
    <t>Primary Care Pediatrics</t>
  </si>
  <si>
    <t>1-5825-5500-1</t>
  </si>
  <si>
    <t>978-1-5825-5626-0</t>
  </si>
  <si>
    <t>01435755</t>
  </si>
  <si>
    <t>MRI of the Musculoskeletal System</t>
  </si>
  <si>
    <t>Psychogenic Movement Disorders Neurology and Neuropsychiatry</t>
  </si>
  <si>
    <t>978-1-5825-5537-9</t>
  </si>
  <si>
    <t>1-5825-5796-9</t>
  </si>
  <si>
    <t>978-0-7817-7891-6</t>
  </si>
  <si>
    <t>978-0-7817-4221-4</t>
  </si>
  <si>
    <t>0-7817-3869-5</t>
  </si>
  <si>
    <t>15th_Edition</t>
  </si>
  <si>
    <t>Critical Pathways in Cardiovascular Medicine</t>
  </si>
  <si>
    <t>0-7817-9439-0</t>
  </si>
  <si>
    <t>Practical Approach to Catheter Ablation of Atrial Fibrillation, A</t>
  </si>
  <si>
    <t>Perioperative Transfusion Medicine</t>
  </si>
  <si>
    <t>01437524</t>
  </si>
  <si>
    <t>1-6083-1431-6</t>
  </si>
  <si>
    <t>0-6833-0733-9</t>
  </si>
  <si>
    <t>01382893</t>
  </si>
  <si>
    <t>0-7817-7064-5</t>
  </si>
  <si>
    <t>Reoperative Plastic Surgery of the Breast</t>
  </si>
  <si>
    <t>01382790</t>
  </si>
  <si>
    <t>Handbook of Obstetric and Gynecologic Emergencies</t>
  </si>
  <si>
    <t>Image-Guided and Adaptive Radiation Therapy</t>
  </si>
  <si>
    <t>978-0-7817-7999-9</t>
  </si>
  <si>
    <t>Infectious Diseases</t>
  </si>
  <si>
    <t>0-7817-2877-0</t>
  </si>
  <si>
    <t>0-7817-4309-5</t>
  </si>
  <si>
    <t>00146939</t>
  </si>
  <si>
    <t>01337418</t>
  </si>
  <si>
    <t>Perez and Brady's Principles and Practice of Radiation Oncology</t>
  </si>
  <si>
    <t>1-5825-5379-3</t>
  </si>
  <si>
    <t>00139964</t>
  </si>
  <si>
    <t>1-4051-0507-0</t>
  </si>
  <si>
    <t>978-0-7817-4983-1</t>
  </si>
  <si>
    <t>0-7817-7869-7</t>
  </si>
  <si>
    <t>01382504</t>
  </si>
  <si>
    <t>1-5825-5512-5</t>
  </si>
  <si>
    <t>978-1-6054-7600-1</t>
  </si>
  <si>
    <t>01429614</t>
  </si>
  <si>
    <t>978-0-7817-3474-5</t>
  </si>
  <si>
    <t>1-6091-3646-2</t>
  </si>
  <si>
    <t>1-5825-5673-3</t>
  </si>
  <si>
    <t>0-7817-5209-4</t>
  </si>
  <si>
    <t>978-0-7817-9205-9</t>
  </si>
  <si>
    <t>0-7817-8304-6</t>
  </si>
  <si>
    <t>Clinical Pharmacology Made Incredibly Easy!</t>
  </si>
  <si>
    <t>01256997</t>
  </si>
  <si>
    <t>Diagnostic Test Facts Made Incredibly Quick!</t>
  </si>
  <si>
    <t>0-7817-9252-5</t>
  </si>
  <si>
    <t>01435382</t>
  </si>
  <si>
    <t>0-7817-5567-0</t>
  </si>
  <si>
    <t>1-6083-1782-X</t>
  </si>
  <si>
    <t>978-0-7817-8000-1</t>
  </si>
  <si>
    <t>978-0-7817-6277-9</t>
  </si>
  <si>
    <t>Operative Techniques in Spine Surgery</t>
  </si>
  <si>
    <t>978-0-7817-8804-5</t>
  </si>
  <si>
    <t>Fundamentals of Nursing Made Incredibly Easy!</t>
  </si>
  <si>
    <t>01382465</t>
  </si>
  <si>
    <t>01436869</t>
  </si>
  <si>
    <t>978-1-5825-5685-7</t>
  </si>
  <si>
    <t>978-0-7817-6805-4</t>
  </si>
  <si>
    <t>01429405</t>
  </si>
  <si>
    <t>978-1-4511-0261-1</t>
  </si>
  <si>
    <t>01337668</t>
  </si>
  <si>
    <t>Fleisher &amp; Ludwig's 5-Minute Pediatric Emergency Medicine Consult</t>
  </si>
  <si>
    <t>978-0-7817-5322-7</t>
  </si>
  <si>
    <t>0-7817-3363-4</t>
  </si>
  <si>
    <t>0-7817-6950-7</t>
  </si>
  <si>
    <t>00149844</t>
  </si>
  <si>
    <t>978-0-7817-4466-9</t>
  </si>
  <si>
    <t>0-7817-6262-6</t>
  </si>
  <si>
    <t>01279773</t>
  </si>
  <si>
    <t>01337533</t>
  </si>
  <si>
    <t>CT and MRI of the Abdomen and Pelvis: A Teaching File</t>
  </si>
  <si>
    <t>978-1-6054-7058-0</t>
  </si>
  <si>
    <t>Field Guide to Bedside Diagnosis</t>
  </si>
  <si>
    <t>Handbook of Clinical Anesthesia</t>
  </si>
  <si>
    <t>01337298</t>
  </si>
  <si>
    <t>Weiner &amp; Levitt's Neurology</t>
  </si>
  <si>
    <t>01269235</t>
  </si>
  <si>
    <t>978-0-7817-4753-0</t>
  </si>
  <si>
    <t>01382833</t>
  </si>
  <si>
    <t>978-1-6083-1464-5</t>
  </si>
  <si>
    <t>0-7817-3939-X</t>
  </si>
  <si>
    <t>01244636</t>
  </si>
  <si>
    <t>978-0-7817-7747-6</t>
  </si>
  <si>
    <t>1-5825-5435-8</t>
  </si>
  <si>
    <t>978-0-7817-8619-5</t>
  </si>
  <si>
    <t>01256999</t>
  </si>
  <si>
    <t>Pharmacology: A 2-in-1 Reference for Nurses</t>
  </si>
  <si>
    <t>978-0-7817-6270-0</t>
  </si>
  <si>
    <t>01434220</t>
  </si>
  <si>
    <t>978-1-6054-7503-5</t>
  </si>
  <si>
    <t>01337566</t>
  </si>
  <si>
    <t>978-1-6083-1287-0</t>
  </si>
  <si>
    <t>Shoulder and Elbow Arthroplasty</t>
  </si>
  <si>
    <t>00140008</t>
  </si>
  <si>
    <t>900 Questions: An Interventional Cardiology Board Review</t>
  </si>
  <si>
    <t>978-1-5825-5512-6</t>
  </si>
  <si>
    <t>978-0-7817-5079-0</t>
  </si>
  <si>
    <t>1-5825-5722-5</t>
  </si>
  <si>
    <t>978-0-7817-6869-6</t>
  </si>
  <si>
    <t>Color Atlas &amp; Synopsis of Clinical Ophthalmology (Wills Eye Institute): Glaucoma</t>
  </si>
  <si>
    <t>Occupational and Environmental Health: Recognizing and Preventing Disease and Injury</t>
  </si>
  <si>
    <t>01329138</t>
  </si>
  <si>
    <t>978-0-7817-6314-1</t>
  </si>
  <si>
    <t>01337155</t>
  </si>
  <si>
    <t>978-1-5825-5317-7</t>
  </si>
  <si>
    <t>0-7817-4434-2</t>
  </si>
  <si>
    <t>Rockwood And Green's Fractures In Adults</t>
  </si>
  <si>
    <t>978-0-7817-9529-6</t>
  </si>
  <si>
    <t>Basic Orthopaedic Biomechanics and Mechano-Biology</t>
  </si>
  <si>
    <t>978-0-7817-6630-2</t>
  </si>
  <si>
    <t>0-7817-5502-6</t>
  </si>
  <si>
    <t>978-0-7817-8941-7</t>
  </si>
  <si>
    <t>0-7817-5335-X</t>
  </si>
  <si>
    <t>0-7817-7486-1</t>
  </si>
  <si>
    <t>1-6083-1706-4</t>
  </si>
  <si>
    <t>01382520</t>
  </si>
  <si>
    <t>01437529</t>
  </si>
  <si>
    <t>36th_Edition</t>
  </si>
  <si>
    <t>0-7817-8779-3</t>
  </si>
  <si>
    <t>0-7817-9844-2</t>
  </si>
  <si>
    <t>1-6083-1290-9</t>
  </si>
  <si>
    <t>Manual of Nerve Conduction Study and Surface Anatomy for Needle Electromyography</t>
  </si>
  <si>
    <t>0-7817-8686-X</t>
  </si>
  <si>
    <t>01382423</t>
  </si>
  <si>
    <t>01382821</t>
  </si>
  <si>
    <t>Staying Out of Trouble in Pediatric Orthopaedics</t>
  </si>
  <si>
    <t>01222978</t>
  </si>
  <si>
    <t>01382563</t>
  </si>
  <si>
    <t>Practical Approach to Transesophageal Echocardiography, A</t>
  </si>
  <si>
    <t>01429437</t>
  </si>
  <si>
    <t>1-4511-0714-5</t>
  </si>
  <si>
    <t>Schwartz's Clinical Handbook of Pediatrics</t>
  </si>
  <si>
    <t>01337646</t>
  </si>
  <si>
    <t>0-7817-3755-9</t>
  </si>
  <si>
    <t>Imaging of Pulmonary Infections</t>
  </si>
  <si>
    <t>0-7817-8408-5</t>
  </si>
  <si>
    <t>01337659</t>
  </si>
  <si>
    <t>0-7817-6267-7</t>
  </si>
  <si>
    <t>0-7817-3549-1</t>
  </si>
  <si>
    <t>0-7817-8752-1</t>
  </si>
  <si>
    <t>978-0-7817-7218-1</t>
  </si>
  <si>
    <t>Reese &amp; Betts': A Practical Approach to Infectious Diseases</t>
  </si>
  <si>
    <t>Pediatric Board Recertification</t>
  </si>
  <si>
    <t>01382848</t>
  </si>
  <si>
    <t>978-1-6054-7714-5</t>
  </si>
  <si>
    <t>0-7817-8881-1</t>
  </si>
  <si>
    <t>01382884</t>
  </si>
  <si>
    <t>Handbook of Patient Care in Cardiac Surgery</t>
  </si>
  <si>
    <t>978-0-7817-7888-6</t>
  </si>
  <si>
    <t>01787190</t>
  </si>
  <si>
    <t>978-0-7817-4025-8</t>
  </si>
  <si>
    <t>01382759</t>
  </si>
  <si>
    <t>01607875</t>
  </si>
  <si>
    <t>High Resolution CT of the Lung</t>
  </si>
  <si>
    <t>1-6091-3237-8</t>
  </si>
  <si>
    <t>00140026</t>
  </si>
  <si>
    <t>978-1-6054-7343-7</t>
  </si>
  <si>
    <t>00139992</t>
  </si>
  <si>
    <t>01257033</t>
  </si>
  <si>
    <t>0-7817-4385-0</t>
  </si>
  <si>
    <t>978-1-4511-7354-3</t>
  </si>
  <si>
    <t>0-7817-3234-4</t>
  </si>
  <si>
    <t>Functional Cerebral SPECT and PET Imaging</t>
  </si>
  <si>
    <t>0-7817-2072-9</t>
  </si>
  <si>
    <t>978-1-5825-5664-2</t>
  </si>
  <si>
    <t>01382528</t>
  </si>
  <si>
    <t>0-7817-8943-5</t>
  </si>
  <si>
    <t>01439417</t>
  </si>
  <si>
    <t>1-6091-3236-X</t>
  </si>
  <si>
    <t>5-Minute Pediatric Consult Standard, The</t>
  </si>
  <si>
    <t>Fields Virology</t>
  </si>
  <si>
    <t>0-7817-8154-X</t>
  </si>
  <si>
    <t>1-6054-7715-X</t>
  </si>
  <si>
    <t>978-0-7817-5651-8</t>
  </si>
  <si>
    <t>01382441</t>
  </si>
  <si>
    <t>978-0-7817-8938-7</t>
  </si>
  <si>
    <t>978-1-5825-5511-9</t>
  </si>
  <si>
    <t>Practical Guide to Emergency Ultrasound</t>
  </si>
  <si>
    <t>978-0-7817-2237-7</t>
  </si>
  <si>
    <t>978-1-6054-7627-8</t>
  </si>
  <si>
    <t>Shields' Textbook of Glaucoma</t>
  </si>
  <si>
    <t>01257046</t>
  </si>
  <si>
    <t>978-1-5825-5288-0</t>
  </si>
  <si>
    <t>0-7817-4221-8</t>
  </si>
  <si>
    <t>1-5825-5380-7</t>
  </si>
  <si>
    <t>01223030</t>
  </si>
  <si>
    <t>Trauma</t>
  </si>
  <si>
    <t>Critical Care Nursing Made Incredibly Easy!</t>
  </si>
  <si>
    <t>978-0-7817-4050-0</t>
  </si>
  <si>
    <t>Fractures of the Pelvis and Acetabulum</t>
  </si>
  <si>
    <t>0-7817-4150-5</t>
  </si>
  <si>
    <t>Behavioral Neurology of Movement Disorders: Advances in Neurology, Volume 96</t>
  </si>
  <si>
    <t>Computed Tomography and Magnetic Resonance of the Thorax</t>
  </si>
  <si>
    <t>01412520</t>
  </si>
  <si>
    <t>978-0-7817-9952-2</t>
  </si>
  <si>
    <t>1-4511-1648-9</t>
  </si>
  <si>
    <t>1-6083-1115-5</t>
  </si>
  <si>
    <t>0-7817-6945-0</t>
  </si>
  <si>
    <t>1-5825-5581-8</t>
  </si>
  <si>
    <t>01429590</t>
  </si>
  <si>
    <t>978-1-5825-5659-8</t>
  </si>
  <si>
    <t>1-6054-7198-4</t>
  </si>
  <si>
    <t>0-7817-4080-0</t>
  </si>
  <si>
    <t>Mood Disorders: A Practical Guide</t>
  </si>
  <si>
    <t>Cherry &amp; Merkatz's Complications of Pregnancy</t>
  </si>
  <si>
    <t>978-0-7817-8509-9</t>
  </si>
  <si>
    <t>00140034</t>
  </si>
  <si>
    <t>0-7817-9693-8</t>
  </si>
  <si>
    <t>1-4511-7343-1</t>
  </si>
  <si>
    <t>5 Minute Urology Consult, The</t>
  </si>
  <si>
    <t>Drugs in Pregnancy and Lactation: A Reference Guide to Fetal and Neonatal Risk</t>
  </si>
  <si>
    <t>978-1-4511-9089-2</t>
  </si>
  <si>
    <t>978-0-7817-7328-7</t>
  </si>
  <si>
    <t>01382896</t>
  </si>
  <si>
    <t>01435373</t>
  </si>
  <si>
    <t>Essential Guide to Primary Care Procedures, The</t>
  </si>
  <si>
    <t>Diabetes and the Metabolic Syndrome in Mental Health</t>
  </si>
  <si>
    <t>978-0-7817-4749-3</t>
  </si>
  <si>
    <t>1-6091-3650-0</t>
  </si>
  <si>
    <t>Washington Manual of Surgery</t>
  </si>
  <si>
    <t>0-7817-8205-8</t>
  </si>
  <si>
    <t>1-5825-5511-7</t>
  </si>
  <si>
    <t>01382874</t>
  </si>
  <si>
    <t>978-0-7817-8265-4</t>
  </si>
  <si>
    <t>Practical Orthopaedic Sports Medicine &amp; Arthroscopy</t>
  </si>
  <si>
    <t>0-7817-7232-X</t>
  </si>
  <si>
    <t>978-0-7817-3501-8</t>
  </si>
  <si>
    <t>01429595</t>
  </si>
  <si>
    <t>02008471</t>
  </si>
  <si>
    <t>01382823</t>
  </si>
  <si>
    <t>0-7817-8720-3</t>
  </si>
  <si>
    <t>1-5825-5706-3</t>
  </si>
  <si>
    <t>978-1-5825-5585-0</t>
  </si>
  <si>
    <t>01437518</t>
  </si>
  <si>
    <t>0-7817-3281-6</t>
  </si>
  <si>
    <t>0-7817-4496-2</t>
  </si>
  <si>
    <t>1-6083-1740-4</t>
  </si>
  <si>
    <t>01382578</t>
  </si>
  <si>
    <t>Lippincott Manual of Nursing Practice</t>
  </si>
  <si>
    <t>978-0-7817-7349-2</t>
  </si>
  <si>
    <t>Handbook of Critical Care Drug Therapy</t>
  </si>
  <si>
    <t>01382445</t>
  </si>
  <si>
    <t>01382728</t>
  </si>
  <si>
    <t>1-6054-7343-X</t>
  </si>
  <si>
    <t>0-7817-8742-4</t>
  </si>
  <si>
    <t>978-1-6054-7411-3</t>
  </si>
  <si>
    <t>01429601</t>
  </si>
  <si>
    <t>978-0-7817-9619-4</t>
  </si>
  <si>
    <t>978-1-6083-1547-5</t>
  </si>
  <si>
    <t>1-5825-5430-7</t>
  </si>
  <si>
    <t>01429410</t>
  </si>
  <si>
    <t>978-0-7817-4151-4</t>
  </si>
  <si>
    <t>01382559</t>
  </si>
  <si>
    <t>Short Stay Management of Heart Failure</t>
  </si>
  <si>
    <t>978-0-7817-5628-0</t>
  </si>
  <si>
    <t>0-6830-7646-9</t>
  </si>
  <si>
    <t>0-7817-7023-8</t>
  </si>
  <si>
    <t>978-0-7817-4493-5</t>
  </si>
  <si>
    <t>01435763</t>
  </si>
  <si>
    <t>Intrapartum Management Modules: A Perinatal Education Program</t>
  </si>
  <si>
    <t>Pediatric Primary Care: Ill-Child Care</t>
  </si>
  <si>
    <t>0-7817-5203-5</t>
  </si>
  <si>
    <t>978-0-7817-9569-2</t>
  </si>
  <si>
    <t>Kaplan &amp; Sadock's Study Guide and Self Examination Review in Psychiatry</t>
  </si>
  <si>
    <t>Sternberg's Diagnostic Surgical Pathology Review</t>
  </si>
  <si>
    <t>1-5825-5424-2</t>
  </si>
  <si>
    <t>978-0-7817-4124-8</t>
  </si>
  <si>
    <t>Fischer's Mastery of Surgery</t>
  </si>
  <si>
    <t>0-7817-6602-8</t>
  </si>
  <si>
    <t>978-1-4511-0913-9</t>
  </si>
  <si>
    <t>1-5825-5923-6</t>
  </si>
  <si>
    <t>978-0-3975-1725-1</t>
  </si>
  <si>
    <t>Essentials of Hand Surgery</t>
  </si>
  <si>
    <t>00139993</t>
  </si>
  <si>
    <t>0-7817-7012-2</t>
  </si>
  <si>
    <t>978-1-5825-5933-9</t>
  </si>
  <si>
    <t>978-0-7817-6334-9</t>
  </si>
  <si>
    <t>1-5825-5678-4</t>
  </si>
  <si>
    <t>0-7817-6654-0</t>
  </si>
  <si>
    <t>978-0-7817-9707-8</t>
  </si>
  <si>
    <t>Critical Care Challenges: Disorders, Treatments, and Procedures</t>
  </si>
  <si>
    <t>Lippincott's Primary Care: Dermatology</t>
  </si>
  <si>
    <t>0-7817-2006-0</t>
  </si>
  <si>
    <t>978-1-5825-5424-2</t>
  </si>
  <si>
    <t>978-0-7817-9693-4</t>
  </si>
  <si>
    <t>00139926</t>
  </si>
  <si>
    <t>1-5825-5173-1</t>
  </si>
  <si>
    <t>Clinical Epidemiology: How to Do Clinical Practice Research</t>
  </si>
  <si>
    <t>978-0-7817-5346-3</t>
  </si>
  <si>
    <t>01382477</t>
  </si>
  <si>
    <t>01899890</t>
  </si>
  <si>
    <t>0-7817-6972-8</t>
  </si>
  <si>
    <t>978-0-7817-7359-1</t>
  </si>
  <si>
    <t>01382740</t>
  </si>
  <si>
    <t>01429407</t>
  </si>
  <si>
    <t>01382454</t>
  </si>
  <si>
    <t>978-0-7817-9374-2</t>
  </si>
  <si>
    <t>0-7817-8198-1</t>
  </si>
  <si>
    <t>01787243</t>
  </si>
  <si>
    <t>978-1-5825-5930-8</t>
  </si>
  <si>
    <t>1-6054-7766-4</t>
  </si>
  <si>
    <t>978-0-7817-5126-1</t>
  </si>
  <si>
    <t>Handbook of Neuroanesthesia</t>
  </si>
  <si>
    <t>01438865</t>
  </si>
  <si>
    <t>Clinical Guide to Pediatric Sleep, A: Diagnosis and Management of Sleep Problems</t>
  </si>
  <si>
    <t>0-7817-5261-2</t>
  </si>
  <si>
    <t>01382846</t>
  </si>
  <si>
    <t>01412543</t>
  </si>
  <si>
    <t>Core Curriculum for Infusion Nursing</t>
  </si>
  <si>
    <t>978-0-7817-7899-2</t>
  </si>
  <si>
    <t>01382671</t>
  </si>
  <si>
    <t>978-0-7817-5584-9</t>
  </si>
  <si>
    <t>01434716</t>
  </si>
  <si>
    <t>01833060</t>
  </si>
  <si>
    <t>Differential Diagnosis in Primary Care</t>
  </si>
  <si>
    <t>01434668</t>
  </si>
  <si>
    <t>978-0-7817-8948-6</t>
  </si>
  <si>
    <t>0-7817-9595-8</t>
  </si>
  <si>
    <t>Targeted Radionuclide Therapy</t>
  </si>
  <si>
    <t>Wound Care Made Incredibly Visual!</t>
  </si>
  <si>
    <t>978-1-6083-1914-5</t>
  </si>
  <si>
    <t>978-0-7817-6812-2</t>
  </si>
  <si>
    <t>01437564</t>
  </si>
  <si>
    <t>ISBN-13</t>
  </si>
  <si>
    <t>0-7817-4698-1</t>
  </si>
  <si>
    <t>0-7817-6805-5</t>
  </si>
  <si>
    <t>01337535</t>
  </si>
  <si>
    <t>978-1-4511-1360-0</t>
  </si>
  <si>
    <t>978-1-5825-5662-8</t>
  </si>
  <si>
    <t>Prostate Cancer: Principles &amp; Practice</t>
  </si>
  <si>
    <t>Hypertension Primer: The Essentials of High Blood Pressure: Basic Science, Population Science, and Clinical Management</t>
  </si>
  <si>
    <t>978-0-7817-6491-9</t>
  </si>
  <si>
    <t>Cardiovascular MR Imaging: Physical Principles to Practical Protocols</t>
  </si>
  <si>
    <t>01382787</t>
  </si>
  <si>
    <t>01337296</t>
  </si>
  <si>
    <t>978-0-7817-7242-6</t>
  </si>
  <si>
    <t>Comprehensive Facial Rejuvenation : A Practical and Systematic Guide to Surgical Management of the Aging Face</t>
  </si>
  <si>
    <t>978-1-6054-7662-9</t>
  </si>
  <si>
    <t>01429611</t>
  </si>
  <si>
    <t>978-1-4511-7560-8</t>
  </si>
  <si>
    <t>01438859</t>
  </si>
  <si>
    <t>1-5825-5224-X</t>
  </si>
  <si>
    <t>978-1-5825-5510-2</t>
  </si>
  <si>
    <t>Springhouse Review for Critical Care Nursing Certification</t>
  </si>
  <si>
    <t>1-5825-5556-7</t>
  </si>
  <si>
    <t>01429673</t>
  </si>
  <si>
    <t>Modern Epidemiology</t>
  </si>
  <si>
    <t>01382413</t>
  </si>
  <si>
    <t>01382723</t>
  </si>
  <si>
    <t>0-7817-8136-1</t>
  </si>
  <si>
    <t>978-1-6083-1100-2</t>
  </si>
  <si>
    <t>01256996</t>
  </si>
  <si>
    <t>01382548</t>
  </si>
  <si>
    <t>0-7817-7165-X</t>
  </si>
  <si>
    <t>01337569</t>
  </si>
  <si>
    <t>0-7817-2120-2</t>
  </si>
  <si>
    <t>0-6833-0273-6</t>
  </si>
  <si>
    <t>0-7817-6491-2</t>
  </si>
  <si>
    <t>Clinical Research: From Proposal to Implementation</t>
  </si>
  <si>
    <t>978-0-7817-9622-4</t>
  </si>
  <si>
    <t>01437556</t>
  </si>
  <si>
    <t>01787332</t>
  </si>
  <si>
    <t>Turek's Orthopaedics: Principles and Their Application</t>
  </si>
  <si>
    <t>978-0-7817-2931-4</t>
  </si>
  <si>
    <t>0-7817-8334-8</t>
  </si>
  <si>
    <t>0-7817-9307-6</t>
  </si>
  <si>
    <t>1-4511-7524-8</t>
  </si>
  <si>
    <t>1-6083-1893-1</t>
  </si>
  <si>
    <t>1-5825-5698-9</t>
  </si>
  <si>
    <t>Physical Medicine and Rehabilitation Pocketpedia</t>
  </si>
  <si>
    <t>1-5825-5412-9</t>
  </si>
  <si>
    <t>01412553</t>
  </si>
  <si>
    <t>Irwin and Rippe's Intensive Care Medicine</t>
  </si>
  <si>
    <t>1-4511-7628-7</t>
  </si>
  <si>
    <t>01438850</t>
  </si>
  <si>
    <t>978-1-5825-5591-1</t>
  </si>
  <si>
    <t>01382891</t>
  </si>
  <si>
    <t>01256986</t>
  </si>
  <si>
    <t>1-5825-5415-3</t>
  </si>
  <si>
    <t>01626616</t>
  </si>
  <si>
    <t>01382639</t>
  </si>
  <si>
    <t>978-0-7817-6518-3</t>
  </si>
  <si>
    <t>978-0-7817-3371-7</t>
  </si>
  <si>
    <t>Ocular Differential Diagnosis</t>
  </si>
  <si>
    <t>01382844</t>
  </si>
  <si>
    <t>978-0-7817-6507-7</t>
  </si>
  <si>
    <t>0-7817-5008-3</t>
  </si>
  <si>
    <t>01382890</t>
  </si>
  <si>
    <t>01279701</t>
  </si>
  <si>
    <t>00139981</t>
  </si>
  <si>
    <t>Lippincott Professional Guides, Anatomy &amp; Physiology</t>
  </si>
  <si>
    <t>Nursing Procedures Made Incredibly Easy!</t>
  </si>
  <si>
    <t>978-0-7817-4810-0</t>
  </si>
  <si>
    <t>1-5825-5784-5</t>
  </si>
  <si>
    <t>01438898</t>
  </si>
  <si>
    <t>0-7817-7489-6</t>
  </si>
  <si>
    <t>978-0-7817-6964-8</t>
  </si>
  <si>
    <t>1-6083-1256-9</t>
  </si>
  <si>
    <t>978-0-7817-4613-7</t>
  </si>
  <si>
    <t>01435757</t>
  </si>
  <si>
    <t>01382590</t>
  </si>
  <si>
    <t>1-5825-5659-8</t>
  </si>
  <si>
    <t>21st_Edition</t>
  </si>
  <si>
    <t>978-1-6054-7234-8</t>
  </si>
  <si>
    <t>Fluids &amp; Electrolytes made Incredibly Easy!®</t>
  </si>
  <si>
    <t>MRI of The  Upper Extremity: Shoulder, Elbow, Wrist, and Hand</t>
  </si>
  <si>
    <t>978-0-7817-6131-4</t>
  </si>
  <si>
    <t>Athlete's Elbow</t>
  </si>
  <si>
    <t>Medical-Surgical Nursing Made Incredibly Easy!</t>
  </si>
  <si>
    <t>978-0-7817-5162-9</t>
  </si>
  <si>
    <t>01382733</t>
  </si>
  <si>
    <t>0-7817-6060-7</t>
  </si>
  <si>
    <t>0-7817-7944-8</t>
  </si>
  <si>
    <t>01337152</t>
  </si>
  <si>
    <t>Comprehensive Textbook of Intraoperative Transesophageal Echocardiography</t>
  </si>
  <si>
    <t>01382731</t>
  </si>
  <si>
    <t>0-7817-6443-2</t>
  </si>
  <si>
    <t>00139882</t>
  </si>
  <si>
    <t>01382523</t>
  </si>
  <si>
    <t>01641757</t>
  </si>
  <si>
    <t>978-0-7817-9285-1</t>
  </si>
  <si>
    <t>01435374</t>
  </si>
  <si>
    <t>01382836</t>
  </si>
  <si>
    <t>978-1-4511-4312-6</t>
  </si>
  <si>
    <t>Molecular Genetic Testing in Surgical Pathology</t>
  </si>
  <si>
    <t>01382419</t>
  </si>
  <si>
    <t>01439407</t>
  </si>
  <si>
    <t>Johns Hopkins Manual of Gynecology and Obstetrics, The</t>
  </si>
  <si>
    <t>0-7817-8339-9</t>
  </si>
  <si>
    <t>1-5825-5665-2</t>
  </si>
  <si>
    <t>978-1-4511-0303-8</t>
  </si>
  <si>
    <t>01412545</t>
  </si>
  <si>
    <t>Lippincott's Review Series: Maternal-Newborn Nursing</t>
  </si>
  <si>
    <t>978-1-4511-0255-0</t>
  </si>
  <si>
    <t>01279734</t>
  </si>
  <si>
    <t>0-7817-6947-7</t>
  </si>
  <si>
    <t>978-0-7817-4600-7</t>
  </si>
  <si>
    <t>2010_Edition</t>
  </si>
  <si>
    <t>0-7817-7999-5</t>
  </si>
  <si>
    <t>978-0-7817-4435-5</t>
  </si>
  <si>
    <t>0-7817-9504-4</t>
  </si>
  <si>
    <t>01735139</t>
  </si>
  <si>
    <t>01337948</t>
  </si>
  <si>
    <t>Review of Clinical Anesthesia</t>
  </si>
  <si>
    <t>01382500</t>
  </si>
  <si>
    <t>0-7817-7741-0</t>
  </si>
  <si>
    <t>978-0-7817-3352-6</t>
  </si>
  <si>
    <t>978-0-7817-9439-8</t>
  </si>
  <si>
    <t>Lippincott Manual of Nursing Practice Series: Documentation</t>
  </si>
  <si>
    <t>978-0-7817-9344-5</t>
  </si>
  <si>
    <t>978-0-7817-7623-3</t>
  </si>
  <si>
    <t>Cardiac Nursing</t>
  </si>
  <si>
    <t>978-1-6054-7233-1</t>
  </si>
  <si>
    <t>0-7817-1694-2</t>
  </si>
  <si>
    <t>Landmarks for Peripheral Nerve Blocks: Upper and Lower Extremities</t>
  </si>
  <si>
    <t>978-0-7817-7741-4</t>
  </si>
  <si>
    <t>01437540</t>
  </si>
  <si>
    <t>978-0-7817-7232-7</t>
  </si>
  <si>
    <t>978-1-4511-8270-5</t>
  </si>
  <si>
    <t>978-0-7817-6566-4</t>
  </si>
  <si>
    <t>Antiepileptic Drugs</t>
  </si>
  <si>
    <t>01337525</t>
  </si>
  <si>
    <t>01382776</t>
  </si>
  <si>
    <t>01382532</t>
  </si>
  <si>
    <t>Textbook of Cardiovascular Medicine</t>
  </si>
  <si>
    <t>01382608</t>
  </si>
  <si>
    <t>978-0-7817-3045-7</t>
  </si>
  <si>
    <t>McGlamry's Forefoot Surgery (Biopsy Interpretation Series)</t>
  </si>
  <si>
    <t>01648001</t>
  </si>
  <si>
    <t>1-5825-5699-7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</si>
</sst>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1" applyFill="1"/>
  </cellXfs>
  <cellStyles count="2">
    <cellStyle name="표준" xfId="0" builtinId="0"/>
    <cellStyle name="하이퍼링크" xfId="1" builtinId="8"/>
  </cellStyles>
  <dxfs count="14">
    <dxf>
      <font>
        <b/>
        <sz val="11"/>
        <color theme="1"/>
        <name val="맑은 고딕"/>
        <scheme val="minor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표2" displayName="표2" ref="A1:K9" totalsRowShown="0" headerRowDxfId="13" dataDxfId="12">
  <autoFilter ref="A1:K9"/>
  <tableColumns count="11">
    <tableColumn id="1" name="Book Title" dataDxfId="11"/>
    <tableColumn id="2" name="ISBN-13" dataDxfId="10"/>
    <tableColumn id="3" name="ISBN-10" dataDxfId="9"/>
    <tableColumn id="4" name="Publisher" dataDxfId="8"/>
    <tableColumn id="5" name="Edition" dataDxfId="7"/>
    <tableColumn id="6" name="Jumpstart" dataDxfId="6" dataCellStyle="하이퍼링크"/>
    <tableColumn id="7" name="Product Name" dataDxfId="5"/>
    <tableColumn id="8" name="Prod Code" dataDxfId="4"/>
    <tableColumn id="9" name="Order" dataDxfId="3"/>
    <tableColumn id="10" name="OfferedOn" dataDxfId="2"/>
    <tableColumn id="11" name="ShortCode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" displayName="Table1" ref="A1:K1181" totalsRowShown="0" headerRowDxfId="0">
  <autoFilter ref="A1:K1181"/>
  <tableColumns count="11">
    <tableColumn id="1" name="Book Title"/>
    <tableColumn id="2" name="ISBN-13"/>
    <tableColumn id="3" name="ISBN-10"/>
    <tableColumn id="4" name="Publisher"/>
    <tableColumn id="5" name="Edition"/>
    <tableColumn id="6" name="Jumpstart"/>
    <tableColumn id="7" name="Product Name"/>
    <tableColumn id="8" name="Prod Code"/>
    <tableColumn id="9" name="Order"/>
    <tableColumn id="10" name="OfferedOn"/>
    <tableColumn id="11" name="Short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RowHeight="16.5" x14ac:dyDescent="0.3"/>
  <cols>
    <col min="1" max="1" width="39" style="4" customWidth="1"/>
    <col min="2" max="2" width="18.375" style="4" bestFit="1" customWidth="1"/>
    <col min="3" max="3" width="14.25" style="4" bestFit="1" customWidth="1"/>
    <col min="4" max="4" width="29.5" style="4" customWidth="1"/>
    <col min="5" max="5" width="12.5" style="4" bestFit="1" customWidth="1"/>
    <col min="6" max="6" width="125.625" style="4" bestFit="1" customWidth="1"/>
    <col min="7" max="7" width="42.625" style="4" bestFit="1" customWidth="1"/>
    <col min="8" max="8" width="14.25" style="4" bestFit="1" customWidth="1"/>
    <col min="9" max="9" width="8.5" style="4" bestFit="1" customWidth="1"/>
    <col min="10" max="10" width="17.125" style="4" bestFit="1" customWidth="1"/>
    <col min="11" max="11" width="12" style="4" customWidth="1"/>
    <col min="12" max="16384" width="9" style="4"/>
  </cols>
  <sheetData>
    <row r="1" spans="1:11" x14ac:dyDescent="0.3">
      <c r="A1" s="3" t="s">
        <v>747</v>
      </c>
      <c r="B1" s="3" t="s">
        <v>4590</v>
      </c>
      <c r="C1" s="3" t="s">
        <v>3949</v>
      </c>
      <c r="D1" s="3" t="s">
        <v>3270</v>
      </c>
      <c r="E1" s="3" t="s">
        <v>1614</v>
      </c>
      <c r="F1" s="3" t="s">
        <v>4005</v>
      </c>
      <c r="G1" s="3" t="s">
        <v>914</v>
      </c>
      <c r="H1" s="3" t="s">
        <v>2160</v>
      </c>
      <c r="I1" s="3" t="s">
        <v>3177</v>
      </c>
      <c r="J1" s="3" t="s">
        <v>2442</v>
      </c>
      <c r="K1" s="3" t="s">
        <v>81</v>
      </c>
    </row>
    <row r="2" spans="1:11" x14ac:dyDescent="0.3">
      <c r="A2" s="4" t="s">
        <v>3960</v>
      </c>
      <c r="B2" s="4" t="s">
        <v>3349</v>
      </c>
      <c r="C2" s="4" t="s">
        <v>1036</v>
      </c>
      <c r="D2" s="4" t="s">
        <v>4111</v>
      </c>
      <c r="E2" s="4" t="s">
        <v>2876</v>
      </c>
      <c r="F2" s="5" t="str">
        <f>HYPERLINK("http://ovidsp.ovid.com/ovidweb.cgi?T=JS&amp;NEWS=n&amp;CSC=Y&amp;PAGE=booktext&amp;D=books&amp;AN=01762464$&amp;XPATH=/PG(0)&amp;EPUB=Y","http://ovidsp.ovid.com/ovidweb.cgi?T=JS&amp;NEWS=n&amp;CSC=Y&amp;PAGE=booktext&amp;D=books&amp;AN=01762464$&amp;XPATH=/PG(0)&amp;EPUB=Y")</f>
        <v>http://ovidsp.ovid.com/ovidweb.cgi?T=JS&amp;NEWS=n&amp;CSC=Y&amp;PAGE=booktext&amp;D=books&amp;AN=01762464$&amp;XPATH=/PG(0)&amp;EPUB=Y</v>
      </c>
      <c r="G2" s="4" t="s">
        <v>3960</v>
      </c>
      <c r="H2" s="4" t="s">
        <v>4236</v>
      </c>
      <c r="I2" s="4">
        <v>1033875</v>
      </c>
      <c r="J2" s="4" t="s">
        <v>3263</v>
      </c>
      <c r="K2" s="4" t="s">
        <v>2127</v>
      </c>
    </row>
    <row r="3" spans="1:11" x14ac:dyDescent="0.3">
      <c r="A3" s="4" t="s">
        <v>3548</v>
      </c>
      <c r="B3" s="4" t="s">
        <v>1132</v>
      </c>
      <c r="C3" s="4" t="s">
        <v>2971</v>
      </c>
      <c r="D3" s="4" t="s">
        <v>4111</v>
      </c>
      <c r="E3" s="4" t="s">
        <v>3387</v>
      </c>
      <c r="F3" s="5" t="str">
        <f>HYPERLINK("http://ovidsp.ovid.com/ovidweb.cgi?T=JS&amp;NEWS=n&amp;CSC=Y&amp;PAGE=booktext&amp;D=books&amp;AN=01838285$&amp;XPATH=/PG(0)&amp;EPUB=Y","http://ovidsp.ovid.com/ovidweb.cgi?T=JS&amp;NEWS=n&amp;CSC=Y&amp;PAGE=booktext&amp;D=books&amp;AN=01838285$&amp;XPATH=/PG(0)&amp;EPUB=Y")</f>
        <v>http://ovidsp.ovid.com/ovidweb.cgi?T=JS&amp;NEWS=n&amp;CSC=Y&amp;PAGE=booktext&amp;D=books&amp;AN=01838285$&amp;XPATH=/PG(0)&amp;EPUB=Y</v>
      </c>
      <c r="G3" s="4" t="s">
        <v>997</v>
      </c>
      <c r="H3" s="4" t="s">
        <v>625</v>
      </c>
      <c r="I3" s="4">
        <v>1033881</v>
      </c>
      <c r="J3" s="4" t="s">
        <v>3263</v>
      </c>
      <c r="K3" s="4" t="s">
        <v>2410</v>
      </c>
    </row>
    <row r="4" spans="1:11" x14ac:dyDescent="0.3">
      <c r="A4" s="4" t="s">
        <v>4149</v>
      </c>
      <c r="B4" s="4" t="s">
        <v>1547</v>
      </c>
      <c r="C4" s="4" t="s">
        <v>3236</v>
      </c>
      <c r="D4" s="4" t="s">
        <v>4111</v>
      </c>
      <c r="E4" s="4" t="s">
        <v>2876</v>
      </c>
      <c r="F4" s="5" t="str">
        <f>HYPERLINK("http://ovidsp.ovid.com/ovidweb.cgi?T=JS&amp;NEWS=n&amp;CSC=Y&amp;PAGE=booktext&amp;D=books&amp;AN=01745970$&amp;XPATH=/PG(0)&amp;EPUB=Y","http://ovidsp.ovid.com/ovidweb.cgi?T=JS&amp;NEWS=n&amp;CSC=Y&amp;PAGE=booktext&amp;D=books&amp;AN=01745970$&amp;XPATH=/PG(0)&amp;EPUB=Y")</f>
        <v>http://ovidsp.ovid.com/ovidweb.cgi?T=JS&amp;NEWS=n&amp;CSC=Y&amp;PAGE=booktext&amp;D=books&amp;AN=01745970$&amp;XPATH=/PG(0)&amp;EPUB=Y</v>
      </c>
      <c r="G4" s="4" t="s">
        <v>4149</v>
      </c>
      <c r="H4" s="4" t="s">
        <v>199</v>
      </c>
      <c r="I4" s="4">
        <v>1033877</v>
      </c>
      <c r="J4" s="4" t="s">
        <v>416</v>
      </c>
      <c r="K4" s="4" t="s">
        <v>2402</v>
      </c>
    </row>
    <row r="5" spans="1:11" x14ac:dyDescent="0.3">
      <c r="A5" s="4" t="s">
        <v>1944</v>
      </c>
      <c r="B5" s="4" t="s">
        <v>3622</v>
      </c>
      <c r="C5" s="4" t="s">
        <v>2117</v>
      </c>
      <c r="D5" s="4" t="s">
        <v>4111</v>
      </c>
      <c r="E5" s="4" t="s">
        <v>3051</v>
      </c>
      <c r="F5" s="5" t="str">
        <f>HYPERLINK("http://ovidsp.ovid.com/ovidweb.cgi?T=JS&amp;NEWS=n&amp;CSC=Y&amp;PAGE=booktext&amp;D=books&amp;AN=01435754$&amp;XPATH=/PG(0)&amp;EPUB=Y","http://ovidsp.ovid.com/ovidweb.cgi?T=JS&amp;NEWS=n&amp;CSC=Y&amp;PAGE=booktext&amp;D=books&amp;AN=01435754$&amp;XPATH=/PG(0)&amp;EPUB=Y")</f>
        <v>http://ovidsp.ovid.com/ovidweb.cgi?T=JS&amp;NEWS=n&amp;CSC=Y&amp;PAGE=booktext&amp;D=books&amp;AN=01435754$&amp;XPATH=/PG(0)&amp;EPUB=Y</v>
      </c>
      <c r="G5" s="4" t="s">
        <v>1944</v>
      </c>
      <c r="H5" s="4" t="s">
        <v>2041</v>
      </c>
      <c r="I5" s="4">
        <v>1033876</v>
      </c>
      <c r="J5" s="4" t="s">
        <v>3263</v>
      </c>
      <c r="K5" s="4" t="s">
        <v>3462</v>
      </c>
    </row>
    <row r="6" spans="1:11" x14ac:dyDescent="0.3">
      <c r="A6" s="4" t="s">
        <v>3906</v>
      </c>
      <c r="B6" s="4" t="s">
        <v>1449</v>
      </c>
      <c r="C6" s="4" t="s">
        <v>1376</v>
      </c>
      <c r="D6" s="4" t="s">
        <v>4111</v>
      </c>
      <c r="E6" s="4" t="s">
        <v>259</v>
      </c>
      <c r="F6" s="5" t="str">
        <f>HYPERLINK("http://ovidsp.ovid.com/ovidweb.cgi?T=JS&amp;NEWS=n&amp;CSC=Y&amp;PAGE=booktext&amp;D=books&amp;AN=01222898$&amp;XPATH=/PG(0)&amp;EPUB=Y","http://ovidsp.ovid.com/ovidweb.cgi?T=JS&amp;NEWS=n&amp;CSC=Y&amp;PAGE=booktext&amp;D=books&amp;AN=01222898$&amp;XPATH=/PG(0)&amp;EPUB=Y")</f>
        <v>http://ovidsp.ovid.com/ovidweb.cgi?T=JS&amp;NEWS=n&amp;CSC=Y&amp;PAGE=booktext&amp;D=books&amp;AN=01222898$&amp;XPATH=/PG(0)&amp;EPUB=Y</v>
      </c>
      <c r="G6" s="4" t="s">
        <v>3906</v>
      </c>
      <c r="H6" s="4" t="s">
        <v>3962</v>
      </c>
      <c r="I6" s="4">
        <v>1033878</v>
      </c>
      <c r="J6" s="4" t="s">
        <v>3263</v>
      </c>
      <c r="K6" s="4" t="s">
        <v>3982</v>
      </c>
    </row>
    <row r="7" spans="1:11" x14ac:dyDescent="0.3">
      <c r="A7" s="4" t="s">
        <v>2062</v>
      </c>
      <c r="B7" s="4" t="s">
        <v>2080</v>
      </c>
      <c r="C7" s="4" t="s">
        <v>2849</v>
      </c>
      <c r="D7" s="4" t="s">
        <v>4111</v>
      </c>
      <c r="E7" s="4" t="s">
        <v>2970</v>
      </c>
      <c r="F7" s="5" t="str">
        <f>HYPERLINK("http://ovidsp.ovid.com/ovidweb.cgi?T=JS&amp;NEWS=n&amp;CSC=Y&amp;PAGE=booktext&amp;D=books&amp;AN=01787253$&amp;XPATH=/PG(0)&amp;EPUB=Y","http://ovidsp.ovid.com/ovidweb.cgi?T=JS&amp;NEWS=n&amp;CSC=Y&amp;PAGE=booktext&amp;D=books&amp;AN=01787253$&amp;XPATH=/PG(0)&amp;EPUB=Y")</f>
        <v>http://ovidsp.ovid.com/ovidweb.cgi?T=JS&amp;NEWS=n&amp;CSC=Y&amp;PAGE=booktext&amp;D=books&amp;AN=01787253$&amp;XPATH=/PG(0)&amp;EPUB=Y</v>
      </c>
      <c r="G7" s="4" t="s">
        <v>2062</v>
      </c>
      <c r="H7" s="4" t="s">
        <v>2854</v>
      </c>
      <c r="I7" s="4">
        <v>1033879</v>
      </c>
      <c r="J7" s="4" t="s">
        <v>3263</v>
      </c>
      <c r="K7" s="4" t="s">
        <v>3507</v>
      </c>
    </row>
    <row r="8" spans="1:11" x14ac:dyDescent="0.3">
      <c r="A8" s="4" t="s">
        <v>4266</v>
      </c>
      <c r="B8" s="4" t="s">
        <v>2091</v>
      </c>
      <c r="C8" s="4" t="s">
        <v>3545</v>
      </c>
      <c r="D8" s="4" t="s">
        <v>4111</v>
      </c>
      <c r="E8" s="4" t="s">
        <v>3387</v>
      </c>
      <c r="F8" s="5" t="str">
        <f>HYPERLINK("http://ovidsp.ovid.com/ovidweb.cgi?T=JS&amp;NEWS=n&amp;CSC=Y&amp;PAGE=booktext&amp;D=books&amp;AN=01626613$&amp;XPATH=/PG(0)&amp;EPUB=Y","http://ovidsp.ovid.com/ovidweb.cgi?T=JS&amp;NEWS=n&amp;CSC=Y&amp;PAGE=booktext&amp;D=books&amp;AN=01626613$&amp;XPATH=/PG(0)&amp;EPUB=Y")</f>
        <v>http://ovidsp.ovid.com/ovidweb.cgi?T=JS&amp;NEWS=n&amp;CSC=Y&amp;PAGE=booktext&amp;D=books&amp;AN=01626613$&amp;XPATH=/PG(0)&amp;EPUB=Y</v>
      </c>
      <c r="G8" s="4" t="s">
        <v>4266</v>
      </c>
      <c r="H8" s="4" t="s">
        <v>1795</v>
      </c>
      <c r="I8" s="4">
        <v>1033880</v>
      </c>
      <c r="J8" s="4" t="s">
        <v>3263</v>
      </c>
      <c r="K8" s="4" t="s">
        <v>2283</v>
      </c>
    </row>
    <row r="9" spans="1:11" x14ac:dyDescent="0.3">
      <c r="A9" s="4" t="s">
        <v>3092</v>
      </c>
      <c r="B9" s="4" t="s">
        <v>2535</v>
      </c>
      <c r="C9" s="4" t="s">
        <v>2969</v>
      </c>
      <c r="D9" s="4" t="s">
        <v>4111</v>
      </c>
      <c r="E9" s="4" t="s">
        <v>2565</v>
      </c>
      <c r="F9" s="5" t="str">
        <f>HYPERLINK("http://ovidsp.ovid.com/ovidweb.cgi?T=JS&amp;NEWS=n&amp;CSC=Y&amp;PAGE=booktext&amp;D=books&amp;AN=01337653$&amp;XPATH=/PG(0)&amp;EPUB=Y","http://ovidsp.ovid.com/ovidweb.cgi?T=JS&amp;NEWS=n&amp;CSC=Y&amp;PAGE=booktext&amp;D=books&amp;AN=01337653$&amp;XPATH=/PG(0)&amp;EPUB=Y")</f>
        <v>http://ovidsp.ovid.com/ovidweb.cgi?T=JS&amp;NEWS=n&amp;CSC=Y&amp;PAGE=booktext&amp;D=books&amp;AN=01337653$&amp;XPATH=/PG(0)&amp;EPUB=Y</v>
      </c>
      <c r="G9" s="4" t="s">
        <v>3092</v>
      </c>
      <c r="H9" s="4" t="s">
        <v>410</v>
      </c>
      <c r="I9" s="4">
        <v>1033882</v>
      </c>
      <c r="J9" s="4" t="s">
        <v>3263</v>
      </c>
      <c r="K9" s="4" t="s">
        <v>603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81"/>
  <sheetViews>
    <sheetView tabSelected="1" workbookViewId="0">
      <pane ySplit="1" topLeftCell="A2" activePane="bottomLeft" state="frozen"/>
      <selection pane="bottomLeft" activeCell="A22" sqref="A22"/>
    </sheetView>
  </sheetViews>
  <sheetFormatPr defaultColWidth="9.125" defaultRowHeight="16.5" x14ac:dyDescent="0.3"/>
  <cols>
    <col min="1" max="1" width="54.75" customWidth="1"/>
    <col min="2" max="2" width="19.75" customWidth="1"/>
    <col min="3" max="3" width="14.75" customWidth="1"/>
    <col min="4" max="4" width="44.75" customWidth="1"/>
    <col min="5" max="5" width="14.75" customWidth="1"/>
    <col min="6" max="6" width="64.75" customWidth="1"/>
    <col min="7" max="7" width="50.75" customWidth="1"/>
    <col min="8" max="8" width="15.75" customWidth="1"/>
    <col min="9" max="9" width="12.75" customWidth="1"/>
    <col min="10" max="11" width="19.75" customWidth="1"/>
  </cols>
  <sheetData>
    <row r="1" spans="1:11" x14ac:dyDescent="0.3">
      <c r="A1" s="2" t="s">
        <v>747</v>
      </c>
      <c r="B1" s="2" t="s">
        <v>4590</v>
      </c>
      <c r="C1" s="2" t="s">
        <v>3949</v>
      </c>
      <c r="D1" s="2" t="s">
        <v>3270</v>
      </c>
      <c r="E1" s="2" t="s">
        <v>1614</v>
      </c>
      <c r="F1" s="2" t="s">
        <v>4005</v>
      </c>
      <c r="G1" s="2" t="s">
        <v>914</v>
      </c>
      <c r="H1" s="2" t="s">
        <v>2160</v>
      </c>
      <c r="I1" s="2" t="s">
        <v>3177</v>
      </c>
      <c r="J1" s="2" t="s">
        <v>2442</v>
      </c>
      <c r="K1" s="2" t="s">
        <v>81</v>
      </c>
    </row>
    <row r="2" spans="1:11" x14ac:dyDescent="0.3">
      <c r="A2" t="s">
        <v>203</v>
      </c>
      <c r="B2" t="s">
        <v>6</v>
      </c>
      <c r="C2" t="s">
        <v>1696</v>
      </c>
      <c r="D2" t="s">
        <v>4111</v>
      </c>
      <c r="E2" t="s">
        <v>259</v>
      </c>
      <c r="F2" s="1" t="str">
        <f>HYPERLINK("http://ovidsp.ovid.com/ovidweb.cgi?T=JS&amp;NEWS=n&amp;CSC=Y&amp;PAGE=booktext&amp;D=books&amp;AN=01735172$&amp;XPATH=/PG(0)&amp;EPUB=Y","http://ovidsp.ovid.com/ovidweb.cgi?T=JS&amp;NEWS=n&amp;CSC=Y&amp;PAGE=booktext&amp;D=books&amp;AN=01735172$&amp;XPATH=/PG(0)&amp;EPUB=Y")</f>
        <v>http://ovidsp.ovid.com/ovidweb.cgi?T=JS&amp;NEWS=n&amp;CSC=Y&amp;PAGE=booktext&amp;D=books&amp;AN=01735172$&amp;XPATH=/PG(0)&amp;EPUB=Y</v>
      </c>
      <c r="G2" t="s">
        <v>2139</v>
      </c>
      <c r="H2" t="s">
        <v>2974</v>
      </c>
      <c r="I2">
        <v>1206726</v>
      </c>
      <c r="J2" t="s">
        <v>3263</v>
      </c>
      <c r="K2" t="s">
        <v>3071</v>
      </c>
    </row>
    <row r="3" spans="1:11" x14ac:dyDescent="0.3">
      <c r="A3" t="s">
        <v>268</v>
      </c>
      <c r="B3" t="s">
        <v>1583</v>
      </c>
      <c r="C3" t="s">
        <v>1833</v>
      </c>
      <c r="D3" t="s">
        <v>4111</v>
      </c>
      <c r="E3" t="s">
        <v>2223</v>
      </c>
      <c r="F3" s="1" t="str">
        <f>HYPERLINK("http://ovidsp.ovid.com/ovidweb.cgi?T=JS&amp;NEWS=n&amp;CSC=Y&amp;PAGE=booktext&amp;D=books&amp;AN=01256985$&amp;XPATH=/PG(0)&amp;EPUB=Y","http://ovidsp.ovid.com/ovidweb.cgi?T=JS&amp;NEWS=n&amp;CSC=Y&amp;PAGE=booktext&amp;D=books&amp;AN=01256985$&amp;XPATH=/PG(0)&amp;EPUB=Y")</f>
        <v>http://ovidsp.ovid.com/ovidweb.cgi?T=JS&amp;NEWS=n&amp;CSC=Y&amp;PAGE=booktext&amp;D=books&amp;AN=01256985$&amp;XPATH=/PG(0)&amp;EPUB=Y</v>
      </c>
      <c r="G3" t="s">
        <v>2139</v>
      </c>
      <c r="H3" t="s">
        <v>2974</v>
      </c>
      <c r="I3">
        <v>1206726</v>
      </c>
      <c r="J3" t="s">
        <v>3263</v>
      </c>
      <c r="K3" t="s">
        <v>148</v>
      </c>
    </row>
    <row r="4" spans="1:11" x14ac:dyDescent="0.3">
      <c r="A4" t="s">
        <v>1240</v>
      </c>
      <c r="B4" t="s">
        <v>1906</v>
      </c>
      <c r="C4" t="s">
        <v>4039</v>
      </c>
      <c r="D4" t="s">
        <v>4111</v>
      </c>
      <c r="E4" t="s">
        <v>2223</v>
      </c>
      <c r="F4" s="1" t="str">
        <f>HYPERLINK("http://ovidsp.ovid.com/ovidweb.cgi?T=JS&amp;NEWS=n&amp;CSC=Y&amp;PAGE=booktext&amp;D=books&amp;AN=01256986$&amp;XPATH=/PG(0)&amp;EPUB=Y","http://ovidsp.ovid.com/ovidweb.cgi?T=JS&amp;NEWS=n&amp;CSC=Y&amp;PAGE=booktext&amp;D=books&amp;AN=01256986$&amp;XPATH=/PG(0)&amp;EPUB=Y")</f>
        <v>http://ovidsp.ovid.com/ovidweb.cgi?T=JS&amp;NEWS=n&amp;CSC=Y&amp;PAGE=booktext&amp;D=books&amp;AN=01256986$&amp;XPATH=/PG(0)&amp;EPUB=Y</v>
      </c>
      <c r="G4" t="s">
        <v>2139</v>
      </c>
      <c r="H4" t="s">
        <v>2974</v>
      </c>
      <c r="I4">
        <v>1206726</v>
      </c>
      <c r="J4" t="s">
        <v>3263</v>
      </c>
      <c r="K4" t="s">
        <v>4644</v>
      </c>
    </row>
    <row r="5" spans="1:11" x14ac:dyDescent="0.3">
      <c r="A5" t="s">
        <v>4476</v>
      </c>
      <c r="B5" t="s">
        <v>2835</v>
      </c>
      <c r="C5" t="s">
        <v>4364</v>
      </c>
      <c r="D5" t="s">
        <v>4111</v>
      </c>
      <c r="E5" t="s">
        <v>404</v>
      </c>
      <c r="F5" s="1" t="str">
        <f>HYPERLINK("http://ovidsp.ovid.com/ovidweb.cgi?T=JS&amp;NEWS=n&amp;CSC=Y&amp;PAGE=booktext&amp;D=books&amp;AN=01412566$&amp;XPATH=/PG(0)&amp;EPUB=Y","http://ovidsp.ovid.com/ovidweb.cgi?T=JS&amp;NEWS=n&amp;CSC=Y&amp;PAGE=booktext&amp;D=books&amp;AN=01412566$&amp;XPATH=/PG(0)&amp;EPUB=Y")</f>
        <v>http://ovidsp.ovid.com/ovidweb.cgi?T=JS&amp;NEWS=n&amp;CSC=Y&amp;PAGE=booktext&amp;D=books&amp;AN=01412566$&amp;XPATH=/PG(0)&amp;EPUB=Y</v>
      </c>
      <c r="G5" t="s">
        <v>2139</v>
      </c>
      <c r="H5" t="s">
        <v>2974</v>
      </c>
      <c r="I5">
        <v>1206726</v>
      </c>
      <c r="J5" t="s">
        <v>3263</v>
      </c>
      <c r="K5" t="s">
        <v>3461</v>
      </c>
    </row>
    <row r="6" spans="1:11" x14ac:dyDescent="0.3">
      <c r="A6" t="s">
        <v>1035</v>
      </c>
      <c r="B6" t="s">
        <v>3809</v>
      </c>
      <c r="C6" t="s">
        <v>4144</v>
      </c>
      <c r="D6" t="s">
        <v>4111</v>
      </c>
      <c r="E6" t="s">
        <v>2066</v>
      </c>
      <c r="F6" s="1" t="str">
        <f>HYPERLINK("http://ovidsp.ovid.com/ovidweb.cgi?T=JS&amp;NEWS=n&amp;CSC=Y&amp;PAGE=booktext&amp;D=books&amp;AN=01337213$&amp;XPATH=/PG(0)&amp;EPUB=Y","http://ovidsp.ovid.com/ovidweb.cgi?T=JS&amp;NEWS=n&amp;CSC=Y&amp;PAGE=booktext&amp;D=books&amp;AN=01337213$&amp;XPATH=/PG(0)&amp;EPUB=Y")</f>
        <v>http://ovidsp.ovid.com/ovidweb.cgi?T=JS&amp;NEWS=n&amp;CSC=Y&amp;PAGE=booktext&amp;D=books&amp;AN=01337213$&amp;XPATH=/PG(0)&amp;EPUB=Y</v>
      </c>
      <c r="G6" t="s">
        <v>2139</v>
      </c>
      <c r="H6" t="s">
        <v>2974</v>
      </c>
      <c r="I6">
        <v>1206726</v>
      </c>
      <c r="J6" t="s">
        <v>3263</v>
      </c>
      <c r="K6" t="s">
        <v>3710</v>
      </c>
    </row>
    <row r="7" spans="1:11" x14ac:dyDescent="0.3">
      <c r="A7" t="s">
        <v>616</v>
      </c>
      <c r="B7" t="s">
        <v>3647</v>
      </c>
      <c r="C7" t="s">
        <v>132</v>
      </c>
      <c r="D7" t="s">
        <v>4111</v>
      </c>
      <c r="E7" t="s">
        <v>8</v>
      </c>
      <c r="F7" s="1" t="str">
        <f>HYPERLINK("http://ovidsp.ovid.com/ovidweb.cgi?T=JS&amp;NEWS=n&amp;CSC=Y&amp;PAGE=booktext&amp;D=books&amp;AN=01337912$&amp;XPATH=/PG(0)&amp;EPUB=Y","http://ovidsp.ovid.com/ovidweb.cgi?T=JS&amp;NEWS=n&amp;CSC=Y&amp;PAGE=booktext&amp;D=books&amp;AN=01337912$&amp;XPATH=/PG(0)&amp;EPUB=Y")</f>
        <v>http://ovidsp.ovid.com/ovidweb.cgi?T=JS&amp;NEWS=n&amp;CSC=Y&amp;PAGE=booktext&amp;D=books&amp;AN=01337912$&amp;XPATH=/PG(0)&amp;EPUB=Y</v>
      </c>
      <c r="G7" t="s">
        <v>2139</v>
      </c>
      <c r="H7" t="s">
        <v>2974</v>
      </c>
      <c r="I7">
        <v>1206726</v>
      </c>
      <c r="J7" t="s">
        <v>3263</v>
      </c>
      <c r="K7" t="s">
        <v>3633</v>
      </c>
    </row>
    <row r="8" spans="1:11" x14ac:dyDescent="0.3">
      <c r="A8" t="s">
        <v>4063</v>
      </c>
      <c r="B8" t="s">
        <v>3164</v>
      </c>
      <c r="C8" t="s">
        <v>372</v>
      </c>
      <c r="D8" t="s">
        <v>4111</v>
      </c>
      <c r="E8" t="s">
        <v>2438</v>
      </c>
      <c r="F8" s="1" t="str">
        <f>HYPERLINK("http://ovidsp.ovid.com/ovidweb.cgi?T=JS&amp;NEWS=n&amp;CSC=Y&amp;PAGE=booktext&amp;D=books&amp;AN=01429624$&amp;XPATH=/PG(0)&amp;EPUB=Y","http://ovidsp.ovid.com/ovidweb.cgi?T=JS&amp;NEWS=n&amp;CSC=Y&amp;PAGE=booktext&amp;D=books&amp;AN=01429624$&amp;XPATH=/PG(0)&amp;EPUB=Y")</f>
        <v>http://ovidsp.ovid.com/ovidweb.cgi?T=JS&amp;NEWS=n&amp;CSC=Y&amp;PAGE=booktext&amp;D=books&amp;AN=01429624$&amp;XPATH=/PG(0)&amp;EPUB=Y</v>
      </c>
      <c r="G8" t="s">
        <v>2139</v>
      </c>
      <c r="H8" t="s">
        <v>2974</v>
      </c>
      <c r="I8">
        <v>1206726</v>
      </c>
      <c r="J8" t="s">
        <v>3263</v>
      </c>
      <c r="K8" t="s">
        <v>2010</v>
      </c>
    </row>
    <row r="9" spans="1:11" x14ac:dyDescent="0.3">
      <c r="A9" t="s">
        <v>3075</v>
      </c>
      <c r="B9" t="s">
        <v>3013</v>
      </c>
      <c r="C9" t="s">
        <v>3526</v>
      </c>
      <c r="D9" t="s">
        <v>4111</v>
      </c>
      <c r="E9" t="s">
        <v>2</v>
      </c>
      <c r="F9" s="1" t="str">
        <f>HYPERLINK("http://ovidsp.ovid.com/ovidweb.cgi?T=JS&amp;NEWS=n&amp;CSC=Y&amp;PAGE=booktext&amp;D=books&amp;AN=01436596$&amp;XPATH=/PG(0)&amp;EPUB=Y","http://ovidsp.ovid.com/ovidweb.cgi?T=JS&amp;NEWS=n&amp;CSC=Y&amp;PAGE=booktext&amp;D=books&amp;AN=01436596$&amp;XPATH=/PG(0)&amp;EPUB=Y")</f>
        <v>http://ovidsp.ovid.com/ovidweb.cgi?T=JS&amp;NEWS=n&amp;CSC=Y&amp;PAGE=booktext&amp;D=books&amp;AN=01436596$&amp;XPATH=/PG(0)&amp;EPUB=Y</v>
      </c>
      <c r="G9" t="s">
        <v>2139</v>
      </c>
      <c r="H9" t="s">
        <v>2974</v>
      </c>
      <c r="I9">
        <v>1206726</v>
      </c>
      <c r="J9" t="s">
        <v>3263</v>
      </c>
      <c r="K9" t="s">
        <v>395</v>
      </c>
    </row>
    <row r="10" spans="1:11" x14ac:dyDescent="0.3">
      <c r="A10" t="s">
        <v>417</v>
      </c>
      <c r="B10" t="s">
        <v>4697</v>
      </c>
      <c r="C10" t="s">
        <v>1620</v>
      </c>
      <c r="D10" t="s">
        <v>4111</v>
      </c>
      <c r="E10" t="s">
        <v>2512</v>
      </c>
      <c r="F10" s="1" t="str">
        <f>HYPERLINK("http://ovidsp.ovid.com/ovidweb.cgi?T=JS&amp;NEWS=n&amp;CSC=Y&amp;PAGE=booktext&amp;D=books&amp;AN=01438842$&amp;XPATH=/PG(0)&amp;EPUB=Y","http://ovidsp.ovid.com/ovidweb.cgi?T=JS&amp;NEWS=n&amp;CSC=Y&amp;PAGE=booktext&amp;D=books&amp;AN=01438842$&amp;XPATH=/PG(0)&amp;EPUB=Y")</f>
        <v>http://ovidsp.ovid.com/ovidweb.cgi?T=JS&amp;NEWS=n&amp;CSC=Y&amp;PAGE=booktext&amp;D=books&amp;AN=01438842$&amp;XPATH=/PG(0)&amp;EPUB=Y</v>
      </c>
      <c r="G10" t="s">
        <v>2139</v>
      </c>
      <c r="H10" t="s">
        <v>2974</v>
      </c>
      <c r="I10">
        <v>1206726</v>
      </c>
      <c r="J10" t="s">
        <v>3263</v>
      </c>
      <c r="K10" t="s">
        <v>4210</v>
      </c>
    </row>
    <row r="11" spans="1:11" x14ac:dyDescent="0.3">
      <c r="A11" t="s">
        <v>3318</v>
      </c>
      <c r="B11" t="s">
        <v>4095</v>
      </c>
      <c r="C11" t="s">
        <v>4006</v>
      </c>
      <c r="D11" t="s">
        <v>4111</v>
      </c>
      <c r="E11" t="s">
        <v>4669</v>
      </c>
      <c r="F11" s="1" t="str">
        <f>HYPERLINK("http://ovidsp.ovid.com/ovidweb.cgi?T=JS&amp;NEWS=n&amp;CSC=Y&amp;PAGE=booktext&amp;D=books&amp;AN=01641738$&amp;XPATH=/PG(0)&amp;EPUB=Y","http://ovidsp.ovid.com/ovidweb.cgi?T=JS&amp;NEWS=n&amp;CSC=Y&amp;PAGE=booktext&amp;D=books&amp;AN=01641738$&amp;XPATH=/PG(0)&amp;EPUB=Y")</f>
        <v>http://ovidsp.ovid.com/ovidweb.cgi?T=JS&amp;NEWS=n&amp;CSC=Y&amp;PAGE=booktext&amp;D=books&amp;AN=01641738$&amp;XPATH=/PG(0)&amp;EPUB=Y</v>
      </c>
      <c r="G11" t="s">
        <v>2139</v>
      </c>
      <c r="H11" t="s">
        <v>2974</v>
      </c>
      <c r="I11">
        <v>1206726</v>
      </c>
      <c r="J11" t="s">
        <v>3263</v>
      </c>
      <c r="K11" t="s">
        <v>799</v>
      </c>
    </row>
    <row r="12" spans="1:11" x14ac:dyDescent="0.3">
      <c r="A12" t="s">
        <v>3590</v>
      </c>
      <c r="B12" t="s">
        <v>3114</v>
      </c>
      <c r="C12" t="s">
        <v>886</v>
      </c>
      <c r="D12" t="s">
        <v>4111</v>
      </c>
      <c r="E12" t="s">
        <v>2947</v>
      </c>
      <c r="F12" s="1" t="str">
        <f>HYPERLINK("http://ovidsp.ovid.com/ovidweb.cgi?T=JS&amp;NEWS=n&amp;CSC=Y&amp;PAGE=booktext&amp;D=books&amp;AN=01735129$&amp;XPATH=/PG(0)&amp;EPUB=Y","http://ovidsp.ovid.com/ovidweb.cgi?T=JS&amp;NEWS=n&amp;CSC=Y&amp;PAGE=booktext&amp;D=books&amp;AN=01735129$&amp;XPATH=/PG(0)&amp;EPUB=Y")</f>
        <v>http://ovidsp.ovid.com/ovidweb.cgi?T=JS&amp;NEWS=n&amp;CSC=Y&amp;PAGE=booktext&amp;D=books&amp;AN=01735129$&amp;XPATH=/PG(0)&amp;EPUB=Y</v>
      </c>
      <c r="G12" t="s">
        <v>2139</v>
      </c>
      <c r="H12" t="s">
        <v>2974</v>
      </c>
      <c r="I12">
        <v>1206726</v>
      </c>
      <c r="J12" t="s">
        <v>3263</v>
      </c>
      <c r="K12" t="s">
        <v>869</v>
      </c>
    </row>
    <row r="13" spans="1:11" x14ac:dyDescent="0.3">
      <c r="A13" t="s">
        <v>1387</v>
      </c>
      <c r="B13" t="s">
        <v>450</v>
      </c>
      <c r="C13" t="s">
        <v>1158</v>
      </c>
      <c r="D13" t="s">
        <v>4111</v>
      </c>
      <c r="E13" t="s">
        <v>3524</v>
      </c>
      <c r="F13" s="1" t="str">
        <f>HYPERLINK("http://ovidsp.ovid.com/ovidweb.cgi?T=JS&amp;NEWS=n&amp;CSC=Y&amp;PAGE=booktext&amp;D=books&amp;AN=01938981$&amp;XPATH=/PG(0)&amp;EPUB=Y","http://ovidsp.ovid.com/ovidweb.cgi?T=JS&amp;NEWS=n&amp;CSC=Y&amp;PAGE=booktext&amp;D=books&amp;AN=01938981$&amp;XPATH=/PG(0)&amp;EPUB=Y")</f>
        <v>http://ovidsp.ovid.com/ovidweb.cgi?T=JS&amp;NEWS=n&amp;CSC=Y&amp;PAGE=booktext&amp;D=books&amp;AN=01938981$&amp;XPATH=/PG(0)&amp;EPUB=Y</v>
      </c>
      <c r="G13" t="s">
        <v>2139</v>
      </c>
      <c r="H13" t="s">
        <v>2974</v>
      </c>
      <c r="I13">
        <v>1206726</v>
      </c>
      <c r="J13" t="s">
        <v>3263</v>
      </c>
      <c r="K13" t="s">
        <v>974</v>
      </c>
    </row>
    <row r="14" spans="1:11" x14ac:dyDescent="0.3">
      <c r="A14" t="s">
        <v>3403</v>
      </c>
      <c r="B14" t="s">
        <v>487</v>
      </c>
      <c r="C14" t="s">
        <v>3551</v>
      </c>
      <c r="D14" t="s">
        <v>4111</v>
      </c>
      <c r="E14" t="s">
        <v>2762</v>
      </c>
      <c r="F14" s="1" t="str">
        <f>HYPERLINK("http://ovidsp.ovid.com/ovidweb.cgi?T=JS&amp;NEWS=n&amp;CSC=Y&amp;PAGE=booktext&amp;D=books&amp;AN=02008467$&amp;XPATH=/PG(0)&amp;EPUB=Y","http://ovidsp.ovid.com/ovidweb.cgi?T=JS&amp;NEWS=n&amp;CSC=Y&amp;PAGE=booktext&amp;D=books&amp;AN=02008467$&amp;XPATH=/PG(0)&amp;EPUB=Y")</f>
        <v>http://ovidsp.ovid.com/ovidweb.cgi?T=JS&amp;NEWS=n&amp;CSC=Y&amp;PAGE=booktext&amp;D=books&amp;AN=02008467$&amp;XPATH=/PG(0)&amp;EPUB=Y</v>
      </c>
      <c r="G14" t="s">
        <v>2139</v>
      </c>
      <c r="H14" t="s">
        <v>2974</v>
      </c>
      <c r="I14">
        <v>1206726</v>
      </c>
      <c r="J14" t="s">
        <v>3263</v>
      </c>
      <c r="K14" t="s">
        <v>326</v>
      </c>
    </row>
    <row r="15" spans="1:11" x14ac:dyDescent="0.3">
      <c r="A15" t="s">
        <v>713</v>
      </c>
      <c r="B15" t="s">
        <v>2020</v>
      </c>
      <c r="C15" t="s">
        <v>3005</v>
      </c>
      <c r="D15" t="s">
        <v>4111</v>
      </c>
      <c r="E15" t="s">
        <v>3491</v>
      </c>
      <c r="F15" s="1" t="str">
        <f>HYPERLINK("http://ovidsp.ovid.com/ovidweb.cgi?T=JS&amp;NEWS=n&amp;CSC=Y&amp;PAGE=booktext&amp;D=books&amp;AN=01856990$&amp;XPATH=/PG(0)&amp;EPUB=Y","http://ovidsp.ovid.com/ovidweb.cgi?T=JS&amp;NEWS=n&amp;CSC=Y&amp;PAGE=booktext&amp;D=books&amp;AN=01856990$&amp;XPATH=/PG(0)&amp;EPUB=Y")</f>
        <v>http://ovidsp.ovid.com/ovidweb.cgi?T=JS&amp;NEWS=n&amp;CSC=Y&amp;PAGE=booktext&amp;D=books&amp;AN=01856990$&amp;XPATH=/PG(0)&amp;EPUB=Y</v>
      </c>
      <c r="G15" t="s">
        <v>2139</v>
      </c>
      <c r="H15" t="s">
        <v>2974</v>
      </c>
      <c r="I15">
        <v>1206726</v>
      </c>
      <c r="J15" t="s">
        <v>3263</v>
      </c>
      <c r="K15" t="s">
        <v>3296</v>
      </c>
    </row>
    <row r="16" spans="1:11" x14ac:dyDescent="0.3">
      <c r="A16" t="s">
        <v>2003</v>
      </c>
      <c r="B16" t="s">
        <v>4543</v>
      </c>
      <c r="C16" t="s">
        <v>942</v>
      </c>
      <c r="D16" t="s">
        <v>4111</v>
      </c>
      <c r="E16" t="s">
        <v>3759</v>
      </c>
      <c r="F16" s="1" t="str">
        <f>HYPERLINK("http://ovidsp.ovid.com/ovidweb.cgi?T=JS&amp;NEWS=n&amp;CSC=Y&amp;PAGE=booktext&amp;D=books&amp;AN=00139924$&amp;XPATH=/PG(0)&amp;EPUB=Y","http://ovidsp.ovid.com/ovidweb.cgi?T=JS&amp;NEWS=n&amp;CSC=Y&amp;PAGE=booktext&amp;D=books&amp;AN=00139924$&amp;XPATH=/PG(0)&amp;EPUB=Y")</f>
        <v>http://ovidsp.ovid.com/ovidweb.cgi?T=JS&amp;NEWS=n&amp;CSC=Y&amp;PAGE=booktext&amp;D=books&amp;AN=00139924$&amp;XPATH=/PG(0)&amp;EPUB=Y</v>
      </c>
      <c r="G16" t="s">
        <v>2139</v>
      </c>
      <c r="H16" t="s">
        <v>2974</v>
      </c>
      <c r="I16">
        <v>1206726</v>
      </c>
      <c r="J16" t="s">
        <v>3263</v>
      </c>
      <c r="K16" t="s">
        <v>4089</v>
      </c>
    </row>
    <row r="17" spans="1:11" x14ac:dyDescent="0.3">
      <c r="A17" t="s">
        <v>4165</v>
      </c>
      <c r="B17" t="s">
        <v>840</v>
      </c>
      <c r="C17" t="s">
        <v>4623</v>
      </c>
      <c r="D17" t="s">
        <v>4111</v>
      </c>
      <c r="E17" t="s">
        <v>2223</v>
      </c>
      <c r="F17" s="1" t="str">
        <f>HYPERLINK("http://ovidsp.ovid.com/ovidweb.cgi?T=JS&amp;NEWS=n&amp;CSC=Y&amp;PAGE=booktext&amp;D=books&amp;AN=01434791$&amp;XPATH=/PG(0)&amp;EPUB=Y","http://ovidsp.ovid.com/ovidweb.cgi?T=JS&amp;NEWS=n&amp;CSC=Y&amp;PAGE=booktext&amp;D=books&amp;AN=01434791$&amp;XPATH=/PG(0)&amp;EPUB=Y")</f>
        <v>http://ovidsp.ovid.com/ovidweb.cgi?T=JS&amp;NEWS=n&amp;CSC=Y&amp;PAGE=booktext&amp;D=books&amp;AN=01434791$&amp;XPATH=/PG(0)&amp;EPUB=Y</v>
      </c>
      <c r="G17" t="s">
        <v>2139</v>
      </c>
      <c r="H17" t="s">
        <v>2974</v>
      </c>
      <c r="I17">
        <v>1206726</v>
      </c>
      <c r="J17" t="s">
        <v>3263</v>
      </c>
      <c r="K17" t="s">
        <v>1951</v>
      </c>
    </row>
    <row r="18" spans="1:11" x14ac:dyDescent="0.3">
      <c r="A18" t="s">
        <v>1531</v>
      </c>
      <c r="B18" t="s">
        <v>3796</v>
      </c>
      <c r="C18" t="s">
        <v>3675</v>
      </c>
      <c r="D18" t="s">
        <v>4111</v>
      </c>
      <c r="E18" t="s">
        <v>2223</v>
      </c>
      <c r="F18" s="1" t="str">
        <f>HYPERLINK("http://ovidsp.ovid.com/ovidweb.cgi?T=JS&amp;NEWS=n&amp;CSC=Y&amp;PAGE=booktext&amp;D=books&amp;AN=00139864$&amp;XPATH=/PG(0)&amp;EPUB=Y","http://ovidsp.ovid.com/ovidweb.cgi?T=JS&amp;NEWS=n&amp;CSC=Y&amp;PAGE=booktext&amp;D=books&amp;AN=00139864$&amp;XPATH=/PG(0)&amp;EPUB=Y")</f>
        <v>http://ovidsp.ovid.com/ovidweb.cgi?T=JS&amp;NEWS=n&amp;CSC=Y&amp;PAGE=booktext&amp;D=books&amp;AN=00139864$&amp;XPATH=/PG(0)&amp;EPUB=Y</v>
      </c>
      <c r="G18" t="s">
        <v>2139</v>
      </c>
      <c r="H18" t="s">
        <v>2974</v>
      </c>
      <c r="I18">
        <v>1206726</v>
      </c>
      <c r="J18" t="s">
        <v>3263</v>
      </c>
      <c r="K18" t="s">
        <v>3619</v>
      </c>
    </row>
    <row r="19" spans="1:11" x14ac:dyDescent="0.3">
      <c r="A19" t="s">
        <v>2006</v>
      </c>
      <c r="B19" t="s">
        <v>255</v>
      </c>
      <c r="C19" t="s">
        <v>2188</v>
      </c>
      <c r="D19" t="s">
        <v>4111</v>
      </c>
      <c r="E19" t="s">
        <v>2223</v>
      </c>
      <c r="F19" s="1" t="str">
        <f>HYPERLINK("http://ovidsp.ovid.com/ovidweb.cgi?T=JS&amp;NEWS=n&amp;CSC=Y&amp;PAGE=booktext&amp;D=books&amp;AN=01382413$&amp;XPATH=/PG(0)&amp;EPUB=Y","http://ovidsp.ovid.com/ovidweb.cgi?T=JS&amp;NEWS=n&amp;CSC=Y&amp;PAGE=booktext&amp;D=books&amp;AN=01382413$&amp;XPATH=/PG(0)&amp;EPUB=Y")</f>
        <v>http://ovidsp.ovid.com/ovidweb.cgi?T=JS&amp;NEWS=n&amp;CSC=Y&amp;PAGE=booktext&amp;D=books&amp;AN=01382413$&amp;XPATH=/PG(0)&amp;EPUB=Y</v>
      </c>
      <c r="G19" t="s">
        <v>2139</v>
      </c>
      <c r="H19" t="s">
        <v>2974</v>
      </c>
      <c r="I19">
        <v>1206726</v>
      </c>
      <c r="J19" t="s">
        <v>3263</v>
      </c>
      <c r="K19" t="s">
        <v>4614</v>
      </c>
    </row>
    <row r="20" spans="1:11" x14ac:dyDescent="0.3">
      <c r="A20" t="s">
        <v>1088</v>
      </c>
      <c r="B20" t="s">
        <v>829</v>
      </c>
      <c r="C20" t="s">
        <v>2369</v>
      </c>
      <c r="D20" t="s">
        <v>4111</v>
      </c>
      <c r="E20" t="s">
        <v>2223</v>
      </c>
      <c r="F20" s="1" t="str">
        <f>HYPERLINK("http://ovidsp.ovid.com/ovidweb.cgi?T=JS&amp;NEWS=n&amp;CSC=Y&amp;PAGE=booktext&amp;D=books&amp;AN=01337302$&amp;XPATH=/PG(0)&amp;EPUB=Y","http://ovidsp.ovid.com/ovidweb.cgi?T=JS&amp;NEWS=n&amp;CSC=Y&amp;PAGE=booktext&amp;D=books&amp;AN=01337302$&amp;XPATH=/PG(0)&amp;EPUB=Y")</f>
        <v>http://ovidsp.ovid.com/ovidweb.cgi?T=JS&amp;NEWS=n&amp;CSC=Y&amp;PAGE=booktext&amp;D=books&amp;AN=01337302$&amp;XPATH=/PG(0)&amp;EPUB=Y</v>
      </c>
      <c r="G20" t="s">
        <v>2139</v>
      </c>
      <c r="H20" t="s">
        <v>2974</v>
      </c>
      <c r="I20">
        <v>1206726</v>
      </c>
      <c r="J20" t="s">
        <v>3263</v>
      </c>
      <c r="K20" t="s">
        <v>53</v>
      </c>
    </row>
    <row r="21" spans="1:11" x14ac:dyDescent="0.3">
      <c r="A21" t="s">
        <v>4112</v>
      </c>
      <c r="B21" t="s">
        <v>1791</v>
      </c>
      <c r="C21" t="s">
        <v>2706</v>
      </c>
      <c r="D21" t="s">
        <v>4111</v>
      </c>
      <c r="E21" t="s">
        <v>404</v>
      </c>
      <c r="F21" s="1" t="str">
        <f>HYPERLINK("http://ovidsp.ovid.com/ovidweb.cgi?T=JS&amp;NEWS=n&amp;CSC=Y&amp;PAGE=booktext&amp;D=books&amp;AN=00139867$&amp;XPATH=/PG(0)&amp;EPUB=Y","http://ovidsp.ovid.com/ovidweb.cgi?T=JS&amp;NEWS=n&amp;CSC=Y&amp;PAGE=booktext&amp;D=books&amp;AN=00139867$&amp;XPATH=/PG(0)&amp;EPUB=Y")</f>
        <v>http://ovidsp.ovid.com/ovidweb.cgi?T=JS&amp;NEWS=n&amp;CSC=Y&amp;PAGE=booktext&amp;D=books&amp;AN=00139867$&amp;XPATH=/PG(0)&amp;EPUB=Y</v>
      </c>
      <c r="G21" t="s">
        <v>2139</v>
      </c>
      <c r="H21" t="s">
        <v>2974</v>
      </c>
      <c r="I21">
        <v>1206726</v>
      </c>
      <c r="J21" t="s">
        <v>3263</v>
      </c>
      <c r="K21" t="s">
        <v>2295</v>
      </c>
    </row>
    <row r="22" spans="1:11" x14ac:dyDescent="0.3">
      <c r="A22" t="s">
        <v>641</v>
      </c>
      <c r="B22" t="s">
        <v>1379</v>
      </c>
      <c r="C22" t="s">
        <v>1577</v>
      </c>
      <c r="D22" t="s">
        <v>4111</v>
      </c>
      <c r="E22" t="s">
        <v>3051</v>
      </c>
      <c r="F22" s="1" t="str">
        <f>HYPERLINK("http://ovidsp.ovid.com/ovidweb.cgi?T=JS&amp;NEWS=n&amp;CSC=Y&amp;PAGE=booktext&amp;D=books&amp;AN=00139865$&amp;XPATH=/PG(0)&amp;EPUB=Y","http://ovidsp.ovid.com/ovidweb.cgi?T=JS&amp;NEWS=n&amp;CSC=Y&amp;PAGE=booktext&amp;D=books&amp;AN=00139865$&amp;XPATH=/PG(0)&amp;EPUB=Y")</f>
        <v>http://ovidsp.ovid.com/ovidweb.cgi?T=JS&amp;NEWS=n&amp;CSC=Y&amp;PAGE=booktext&amp;D=books&amp;AN=00139865$&amp;XPATH=/PG(0)&amp;EPUB=Y</v>
      </c>
      <c r="G22" t="s">
        <v>2139</v>
      </c>
      <c r="H22" t="s">
        <v>2974</v>
      </c>
      <c r="I22">
        <v>1206726</v>
      </c>
      <c r="J22" t="s">
        <v>3263</v>
      </c>
      <c r="K22" t="s">
        <v>3749</v>
      </c>
    </row>
    <row r="23" spans="1:11" x14ac:dyDescent="0.3">
      <c r="A23" t="s">
        <v>4436</v>
      </c>
      <c r="B23" t="s">
        <v>527</v>
      </c>
      <c r="C23" t="s">
        <v>1839</v>
      </c>
      <c r="D23" t="s">
        <v>4111</v>
      </c>
      <c r="E23" t="s">
        <v>1595</v>
      </c>
      <c r="F23" s="1" t="str">
        <f>HYPERLINK("http://ovidsp.ovid.com/ovidweb.cgi?T=JS&amp;NEWS=n&amp;CSC=Y&amp;PAGE=booktext&amp;D=books&amp;AN=01856991$&amp;XPATH=/PG(0)&amp;EPUB=Y","http://ovidsp.ovid.com/ovidweb.cgi?T=JS&amp;NEWS=n&amp;CSC=Y&amp;PAGE=booktext&amp;D=books&amp;AN=01856991$&amp;XPATH=/PG(0)&amp;EPUB=Y")</f>
        <v>http://ovidsp.ovid.com/ovidweb.cgi?T=JS&amp;NEWS=n&amp;CSC=Y&amp;PAGE=booktext&amp;D=books&amp;AN=01856991$&amp;XPATH=/PG(0)&amp;EPUB=Y</v>
      </c>
      <c r="G23" t="s">
        <v>2139</v>
      </c>
      <c r="H23" t="s">
        <v>2974</v>
      </c>
      <c r="I23">
        <v>1206726</v>
      </c>
      <c r="J23" t="s">
        <v>3263</v>
      </c>
      <c r="K23" t="s">
        <v>1774</v>
      </c>
    </row>
    <row r="24" spans="1:11" x14ac:dyDescent="0.3">
      <c r="A24" t="s">
        <v>1687</v>
      </c>
      <c r="B24" t="s">
        <v>1120</v>
      </c>
      <c r="C24" t="s">
        <v>2293</v>
      </c>
      <c r="D24" t="s">
        <v>4111</v>
      </c>
      <c r="E24" t="s">
        <v>3387</v>
      </c>
      <c r="F24" s="1" t="str">
        <f>HYPERLINK("http://ovidsp.ovid.com/ovidweb.cgi?T=JS&amp;NEWS=n&amp;CSC=Y&amp;PAGE=booktext&amp;D=books&amp;AN=01438890$&amp;XPATH=/PG(0)&amp;EPUB=Y","http://ovidsp.ovid.com/ovidweb.cgi?T=JS&amp;NEWS=n&amp;CSC=Y&amp;PAGE=booktext&amp;D=books&amp;AN=01438890$&amp;XPATH=/PG(0)&amp;EPUB=Y")</f>
        <v>http://ovidsp.ovid.com/ovidweb.cgi?T=JS&amp;NEWS=n&amp;CSC=Y&amp;PAGE=booktext&amp;D=books&amp;AN=01438890$&amp;XPATH=/PG(0)&amp;EPUB=Y</v>
      </c>
      <c r="G24" t="s">
        <v>2139</v>
      </c>
      <c r="H24" t="s">
        <v>2974</v>
      </c>
      <c r="I24">
        <v>1206726</v>
      </c>
      <c r="J24" t="s">
        <v>3263</v>
      </c>
      <c r="K24" t="s">
        <v>3149</v>
      </c>
    </row>
    <row r="25" spans="1:11" x14ac:dyDescent="0.3">
      <c r="A25" t="s">
        <v>2236</v>
      </c>
      <c r="B25" t="s">
        <v>4733</v>
      </c>
      <c r="C25" t="s">
        <v>213</v>
      </c>
      <c r="D25" t="s">
        <v>4111</v>
      </c>
      <c r="E25" t="s">
        <v>2223</v>
      </c>
      <c r="F25" s="1" t="str">
        <f>HYPERLINK("http://ovidsp.ovid.com/ovidweb.cgi?T=JS&amp;NEWS=n&amp;CSC=Y&amp;PAGE=booktext&amp;D=books&amp;AN=00139866$&amp;XPATH=/PG(0)&amp;EPUB=Y","http://ovidsp.ovid.com/ovidweb.cgi?T=JS&amp;NEWS=n&amp;CSC=Y&amp;PAGE=booktext&amp;D=books&amp;AN=00139866$&amp;XPATH=/PG(0)&amp;EPUB=Y")</f>
        <v>http://ovidsp.ovid.com/ovidweb.cgi?T=JS&amp;NEWS=n&amp;CSC=Y&amp;PAGE=booktext&amp;D=books&amp;AN=00139866$&amp;XPATH=/PG(0)&amp;EPUB=Y</v>
      </c>
      <c r="G25" t="s">
        <v>2139</v>
      </c>
      <c r="H25" t="s">
        <v>2974</v>
      </c>
      <c r="I25">
        <v>1206726</v>
      </c>
      <c r="J25" t="s">
        <v>3263</v>
      </c>
      <c r="K25" t="s">
        <v>3629</v>
      </c>
    </row>
    <row r="26" spans="1:11" x14ac:dyDescent="0.3">
      <c r="A26" t="s">
        <v>2672</v>
      </c>
      <c r="B26" t="s">
        <v>4192</v>
      </c>
      <c r="C26" t="s">
        <v>2182</v>
      </c>
      <c r="D26" t="s">
        <v>4111</v>
      </c>
      <c r="E26" t="s">
        <v>404</v>
      </c>
      <c r="F26" s="1" t="str">
        <f>HYPERLINK("http://ovidsp.ovid.com/ovidweb.cgi?T=JS&amp;NEWS=n&amp;CSC=Y&amp;PAGE=booktext&amp;D=books&amp;AN=01437578$&amp;XPATH=/PG(0)&amp;EPUB=Y","http://ovidsp.ovid.com/ovidweb.cgi?T=JS&amp;NEWS=n&amp;CSC=Y&amp;PAGE=booktext&amp;D=books&amp;AN=01437578$&amp;XPATH=/PG(0)&amp;EPUB=Y")</f>
        <v>http://ovidsp.ovid.com/ovidweb.cgi?T=JS&amp;NEWS=n&amp;CSC=Y&amp;PAGE=booktext&amp;D=books&amp;AN=01437578$&amp;XPATH=/PG(0)&amp;EPUB=Y</v>
      </c>
      <c r="G26" t="s">
        <v>2139</v>
      </c>
      <c r="H26" t="s">
        <v>2974</v>
      </c>
      <c r="I26">
        <v>1206726</v>
      </c>
      <c r="J26" t="s">
        <v>3263</v>
      </c>
      <c r="K26" t="s">
        <v>2137</v>
      </c>
    </row>
    <row r="27" spans="1:11" x14ac:dyDescent="0.3">
      <c r="A27" t="s">
        <v>1050</v>
      </c>
      <c r="B27" t="s">
        <v>2935</v>
      </c>
      <c r="C27" t="s">
        <v>1175</v>
      </c>
      <c r="D27" t="s">
        <v>4111</v>
      </c>
      <c r="E27" t="s">
        <v>2223</v>
      </c>
      <c r="F27" s="1" t="str">
        <f>HYPERLINK("http://ovidsp.ovid.com/ovidweb.cgi?T=JS&amp;NEWS=n&amp;CSC=Y&amp;PAGE=booktext&amp;D=books&amp;AN=00139868$&amp;XPATH=/PG(0)&amp;EPUB=Y","http://ovidsp.ovid.com/ovidweb.cgi?T=JS&amp;NEWS=n&amp;CSC=Y&amp;PAGE=booktext&amp;D=books&amp;AN=00139868$&amp;XPATH=/PG(0)&amp;EPUB=Y")</f>
        <v>http://ovidsp.ovid.com/ovidweb.cgi?T=JS&amp;NEWS=n&amp;CSC=Y&amp;PAGE=booktext&amp;D=books&amp;AN=00139868$&amp;XPATH=/PG(0)&amp;EPUB=Y</v>
      </c>
      <c r="G27" t="s">
        <v>2139</v>
      </c>
      <c r="H27" t="s">
        <v>2974</v>
      </c>
      <c r="I27">
        <v>1206726</v>
      </c>
      <c r="J27" t="s">
        <v>3263</v>
      </c>
      <c r="K27" t="s">
        <v>1919</v>
      </c>
    </row>
    <row r="28" spans="1:11" x14ac:dyDescent="0.3">
      <c r="A28" t="s">
        <v>4361</v>
      </c>
      <c r="B28" t="s">
        <v>4506</v>
      </c>
      <c r="C28" t="s">
        <v>1317</v>
      </c>
      <c r="D28" t="s">
        <v>4111</v>
      </c>
      <c r="E28" t="s">
        <v>2223</v>
      </c>
      <c r="F28" s="1" t="str">
        <f>HYPERLINK("http://ovidsp.ovid.com/ovidweb.cgi?T=JS&amp;NEWS=n&amp;CSC=Y&amp;PAGE=booktext&amp;D=books&amp;AN=01382578$&amp;XPATH=/PG(0)&amp;EPUB=Y","http://ovidsp.ovid.com/ovidweb.cgi?T=JS&amp;NEWS=n&amp;CSC=Y&amp;PAGE=booktext&amp;D=books&amp;AN=01382578$&amp;XPATH=/PG(0)&amp;EPUB=Y")</f>
        <v>http://ovidsp.ovid.com/ovidweb.cgi?T=JS&amp;NEWS=n&amp;CSC=Y&amp;PAGE=booktext&amp;D=books&amp;AN=01382578$&amp;XPATH=/PG(0)&amp;EPUB=Y</v>
      </c>
      <c r="G28" t="s">
        <v>2139</v>
      </c>
      <c r="H28" t="s">
        <v>2974</v>
      </c>
      <c r="I28">
        <v>1206726</v>
      </c>
      <c r="J28" t="s">
        <v>3263</v>
      </c>
      <c r="K28" t="s">
        <v>4504</v>
      </c>
    </row>
    <row r="29" spans="1:11" x14ac:dyDescent="0.3">
      <c r="A29" t="s">
        <v>4239</v>
      </c>
      <c r="B29" t="s">
        <v>1031</v>
      </c>
      <c r="C29" t="s">
        <v>3585</v>
      </c>
      <c r="D29" t="s">
        <v>4111</v>
      </c>
      <c r="E29" t="s">
        <v>404</v>
      </c>
      <c r="F29" s="1" t="str">
        <f>HYPERLINK("http://ovidsp.ovid.com/ovidweb.cgi?T=JS&amp;NEWS=n&amp;CSC=Y&amp;PAGE=booktext&amp;D=books&amp;AN=01382418$&amp;XPATH=/PG(0)&amp;EPUB=Y","http://ovidsp.ovid.com/ovidweb.cgi?T=JS&amp;NEWS=n&amp;CSC=Y&amp;PAGE=booktext&amp;D=books&amp;AN=01382418$&amp;XPATH=/PG(0)&amp;EPUB=Y")</f>
        <v>http://ovidsp.ovid.com/ovidweb.cgi?T=JS&amp;NEWS=n&amp;CSC=Y&amp;PAGE=booktext&amp;D=books&amp;AN=01382418$&amp;XPATH=/PG(0)&amp;EPUB=Y</v>
      </c>
      <c r="G29" t="s">
        <v>2139</v>
      </c>
      <c r="H29" t="s">
        <v>2974</v>
      </c>
      <c r="I29">
        <v>1206726</v>
      </c>
      <c r="J29" t="s">
        <v>3263</v>
      </c>
      <c r="K29" t="s">
        <v>349</v>
      </c>
    </row>
    <row r="30" spans="1:11" x14ac:dyDescent="0.3">
      <c r="A30" t="s">
        <v>1813</v>
      </c>
      <c r="B30" t="s">
        <v>2348</v>
      </c>
      <c r="C30" t="s">
        <v>3893</v>
      </c>
      <c r="D30" t="s">
        <v>4111</v>
      </c>
      <c r="E30" t="s">
        <v>404</v>
      </c>
      <c r="F30" s="1" t="str">
        <f>HYPERLINK("http://ovidsp.ovid.com/ovidweb.cgi?T=JS&amp;NEWS=n&amp;CSC=Y&amp;PAGE=booktext&amp;D=books&amp;AN=01382419$&amp;XPATH=/PG(0)&amp;EPUB=Y","http://ovidsp.ovid.com/ovidweb.cgi?T=JS&amp;NEWS=n&amp;CSC=Y&amp;PAGE=booktext&amp;D=books&amp;AN=01382419$&amp;XPATH=/PG(0)&amp;EPUB=Y")</f>
        <v>http://ovidsp.ovid.com/ovidweb.cgi?T=JS&amp;NEWS=n&amp;CSC=Y&amp;PAGE=booktext&amp;D=books&amp;AN=01382419$&amp;XPATH=/PG(0)&amp;EPUB=Y</v>
      </c>
      <c r="G30" t="s">
        <v>2139</v>
      </c>
      <c r="H30" t="s">
        <v>2974</v>
      </c>
      <c r="I30">
        <v>1206726</v>
      </c>
      <c r="J30" t="s">
        <v>3263</v>
      </c>
      <c r="K30" t="s">
        <v>4692</v>
      </c>
    </row>
    <row r="31" spans="1:11" x14ac:dyDescent="0.3">
      <c r="A31" t="s">
        <v>1619</v>
      </c>
      <c r="B31" t="s">
        <v>2513</v>
      </c>
      <c r="C31" t="s">
        <v>124</v>
      </c>
      <c r="D31" t="s">
        <v>4111</v>
      </c>
      <c r="E31" t="s">
        <v>404</v>
      </c>
      <c r="F31" s="1" t="str">
        <f>HYPERLINK("http://ovidsp.ovid.com/ovidweb.cgi?T=JS&amp;NEWS=n&amp;CSC=Y&amp;PAGE=booktext&amp;D=books&amp;AN=01745912$&amp;XPATH=/PG(0)&amp;EPUB=Y","http://ovidsp.ovid.com/ovidweb.cgi?T=JS&amp;NEWS=n&amp;CSC=Y&amp;PAGE=booktext&amp;D=books&amp;AN=01745912$&amp;XPATH=/PG(0)&amp;EPUB=Y")</f>
        <v>http://ovidsp.ovid.com/ovidweb.cgi?T=JS&amp;NEWS=n&amp;CSC=Y&amp;PAGE=booktext&amp;D=books&amp;AN=01745912$&amp;XPATH=/PG(0)&amp;EPUB=Y</v>
      </c>
      <c r="G31" t="s">
        <v>2139</v>
      </c>
      <c r="H31" t="s">
        <v>2974</v>
      </c>
      <c r="I31">
        <v>1206726</v>
      </c>
      <c r="J31" t="s">
        <v>3263</v>
      </c>
      <c r="K31" t="s">
        <v>877</v>
      </c>
    </row>
    <row r="32" spans="1:11" x14ac:dyDescent="0.3">
      <c r="A32" t="s">
        <v>1619</v>
      </c>
      <c r="B32" t="s">
        <v>4264</v>
      </c>
      <c r="C32" t="s">
        <v>628</v>
      </c>
      <c r="D32" t="s">
        <v>4111</v>
      </c>
      <c r="E32" t="s">
        <v>2223</v>
      </c>
      <c r="F32" s="1" t="str">
        <f>HYPERLINK("http://ovidsp.ovid.com/ovidweb.cgi?T=JS&amp;NEWS=n&amp;CSC=Y&amp;PAGE=booktext&amp;D=books&amp;AN=01382799$&amp;XPATH=/PG(0)&amp;EPUB=Y","http://ovidsp.ovid.com/ovidweb.cgi?T=JS&amp;NEWS=n&amp;CSC=Y&amp;PAGE=booktext&amp;D=books&amp;AN=01382799$&amp;XPATH=/PG(0)&amp;EPUB=Y")</f>
        <v>http://ovidsp.ovid.com/ovidweb.cgi?T=JS&amp;NEWS=n&amp;CSC=Y&amp;PAGE=booktext&amp;D=books&amp;AN=01382799$&amp;XPATH=/PG(0)&amp;EPUB=Y</v>
      </c>
      <c r="G32" t="s">
        <v>2139</v>
      </c>
      <c r="H32" t="s">
        <v>2974</v>
      </c>
      <c r="I32">
        <v>1206726</v>
      </c>
      <c r="J32" t="s">
        <v>3263</v>
      </c>
      <c r="K32" t="s">
        <v>3197</v>
      </c>
    </row>
    <row r="33" spans="1:11" x14ac:dyDescent="0.3">
      <c r="A33" t="s">
        <v>3930</v>
      </c>
      <c r="B33" t="s">
        <v>49</v>
      </c>
      <c r="C33" t="s">
        <v>4564</v>
      </c>
      <c r="D33" t="s">
        <v>4111</v>
      </c>
      <c r="E33" t="s">
        <v>2223</v>
      </c>
      <c r="F33" s="1" t="str">
        <f>HYPERLINK("http://ovidsp.ovid.com/ovidweb.cgi?T=JS&amp;NEWS=n&amp;CSC=Y&amp;PAGE=booktext&amp;D=books&amp;AN=01435761$&amp;XPATH=/PG(0)&amp;EPUB=Y","http://ovidsp.ovid.com/ovidweb.cgi?T=JS&amp;NEWS=n&amp;CSC=Y&amp;PAGE=booktext&amp;D=books&amp;AN=01435761$&amp;XPATH=/PG(0)&amp;EPUB=Y")</f>
        <v>http://ovidsp.ovid.com/ovidweb.cgi?T=JS&amp;NEWS=n&amp;CSC=Y&amp;PAGE=booktext&amp;D=books&amp;AN=01435761$&amp;XPATH=/PG(0)&amp;EPUB=Y</v>
      </c>
      <c r="G33" t="s">
        <v>2139</v>
      </c>
      <c r="H33" t="s">
        <v>2974</v>
      </c>
      <c r="I33">
        <v>1206726</v>
      </c>
      <c r="J33" t="s">
        <v>3263</v>
      </c>
      <c r="K33" t="s">
        <v>136</v>
      </c>
    </row>
    <row r="34" spans="1:11" x14ac:dyDescent="0.3">
      <c r="A34" t="s">
        <v>180</v>
      </c>
      <c r="B34" t="s">
        <v>931</v>
      </c>
      <c r="C34" t="s">
        <v>4216</v>
      </c>
      <c r="D34" t="s">
        <v>4111</v>
      </c>
      <c r="E34" t="s">
        <v>2223</v>
      </c>
      <c r="F34" s="1" t="str">
        <f>HYPERLINK("http://ovidsp.ovid.com/ovidweb.cgi?T=JS&amp;NEWS=n&amp;CSC=Y&amp;PAGE=booktext&amp;D=books&amp;AN=01439389$&amp;XPATH=/PG(0)&amp;EPUB=Y","http://ovidsp.ovid.com/ovidweb.cgi?T=JS&amp;NEWS=n&amp;CSC=Y&amp;PAGE=booktext&amp;D=books&amp;AN=01439389$&amp;XPATH=/PG(0)&amp;EPUB=Y")</f>
        <v>http://ovidsp.ovid.com/ovidweb.cgi?T=JS&amp;NEWS=n&amp;CSC=Y&amp;PAGE=booktext&amp;D=books&amp;AN=01439389$&amp;XPATH=/PG(0)&amp;EPUB=Y</v>
      </c>
      <c r="G34" t="s">
        <v>2139</v>
      </c>
      <c r="H34" t="s">
        <v>2974</v>
      </c>
      <c r="I34">
        <v>1206726</v>
      </c>
      <c r="J34" t="s">
        <v>3263</v>
      </c>
      <c r="K34" t="s">
        <v>200</v>
      </c>
    </row>
    <row r="35" spans="1:11" x14ac:dyDescent="0.3">
      <c r="A35" t="s">
        <v>91</v>
      </c>
      <c r="B35" t="s">
        <v>1198</v>
      </c>
      <c r="C35" t="s">
        <v>2589</v>
      </c>
      <c r="D35" t="s">
        <v>4111</v>
      </c>
      <c r="E35" t="s">
        <v>2223</v>
      </c>
      <c r="F35" s="1" t="str">
        <f>HYPERLINK("http://ovidsp.ovid.com/ovidweb.cgi?T=JS&amp;NEWS=n&amp;CSC=Y&amp;PAGE=booktext&amp;D=books&amp;AN=01382420$&amp;XPATH=/PG(0)&amp;EPUB=Y","http://ovidsp.ovid.com/ovidweb.cgi?T=JS&amp;NEWS=n&amp;CSC=Y&amp;PAGE=booktext&amp;D=books&amp;AN=01382420$&amp;XPATH=/PG(0)&amp;EPUB=Y")</f>
        <v>http://ovidsp.ovid.com/ovidweb.cgi?T=JS&amp;NEWS=n&amp;CSC=Y&amp;PAGE=booktext&amp;D=books&amp;AN=01382420$&amp;XPATH=/PG(0)&amp;EPUB=Y</v>
      </c>
      <c r="G35" t="s">
        <v>2139</v>
      </c>
      <c r="H35" t="s">
        <v>2974</v>
      </c>
      <c r="I35">
        <v>1206726</v>
      </c>
      <c r="J35" t="s">
        <v>3263</v>
      </c>
      <c r="K35" t="s">
        <v>1112</v>
      </c>
    </row>
    <row r="36" spans="1:11" x14ac:dyDescent="0.3">
      <c r="A36" t="s">
        <v>838</v>
      </c>
      <c r="B36" t="s">
        <v>3287</v>
      </c>
      <c r="C36" t="s">
        <v>2749</v>
      </c>
      <c r="D36" t="s">
        <v>4111</v>
      </c>
      <c r="E36" t="s">
        <v>2876</v>
      </c>
      <c r="F36" s="1" t="str">
        <f>HYPERLINK("http://ovidsp.ovid.com/ovidweb.cgi?T=JS&amp;NEWS=n&amp;CSC=Y&amp;PAGE=booktext&amp;D=books&amp;AN=01276471$&amp;XPATH=/PG(0)&amp;EPUB=Y","http://ovidsp.ovid.com/ovidweb.cgi?T=JS&amp;NEWS=n&amp;CSC=Y&amp;PAGE=booktext&amp;D=books&amp;AN=01276471$&amp;XPATH=/PG(0)&amp;EPUB=Y")</f>
        <v>http://ovidsp.ovid.com/ovidweb.cgi?T=JS&amp;NEWS=n&amp;CSC=Y&amp;PAGE=booktext&amp;D=books&amp;AN=01276471$&amp;XPATH=/PG(0)&amp;EPUB=Y</v>
      </c>
      <c r="G36" t="s">
        <v>2139</v>
      </c>
      <c r="H36" t="s">
        <v>2974</v>
      </c>
      <c r="I36">
        <v>1206726</v>
      </c>
      <c r="J36" t="s">
        <v>3263</v>
      </c>
      <c r="K36" t="s">
        <v>3870</v>
      </c>
    </row>
    <row r="37" spans="1:11" x14ac:dyDescent="0.3">
      <c r="A37" t="s">
        <v>3919</v>
      </c>
      <c r="B37" t="s">
        <v>2836</v>
      </c>
      <c r="C37" t="s">
        <v>2748</v>
      </c>
      <c r="D37" t="s">
        <v>4111</v>
      </c>
      <c r="E37" t="s">
        <v>2223</v>
      </c>
      <c r="F37" s="1" t="str">
        <f>HYPERLINK("http://ovidsp.ovid.com/ovidweb.cgi?T=JS&amp;NEWS=n&amp;CSC=Y&amp;PAGE=booktext&amp;D=books&amp;AN=01382467$&amp;XPATH=/PG(0)&amp;EPUB=Y","http://ovidsp.ovid.com/ovidweb.cgi?T=JS&amp;NEWS=n&amp;CSC=Y&amp;PAGE=booktext&amp;D=books&amp;AN=01382467$&amp;XPATH=/PG(0)&amp;EPUB=Y")</f>
        <v>http://ovidsp.ovid.com/ovidweb.cgi?T=JS&amp;NEWS=n&amp;CSC=Y&amp;PAGE=booktext&amp;D=books&amp;AN=01382467$&amp;XPATH=/PG(0)&amp;EPUB=Y</v>
      </c>
      <c r="G37" t="s">
        <v>2139</v>
      </c>
      <c r="H37" t="s">
        <v>2974</v>
      </c>
      <c r="I37">
        <v>1206726</v>
      </c>
      <c r="J37" t="s">
        <v>3263</v>
      </c>
      <c r="K37" t="s">
        <v>3273</v>
      </c>
    </row>
    <row r="38" spans="1:11" x14ac:dyDescent="0.3">
      <c r="A38" t="s">
        <v>3773</v>
      </c>
      <c r="B38" t="s">
        <v>3100</v>
      </c>
      <c r="C38" t="s">
        <v>4405</v>
      </c>
      <c r="D38" t="s">
        <v>4111</v>
      </c>
      <c r="E38" t="s">
        <v>1104</v>
      </c>
      <c r="F38" s="1" t="str">
        <f>HYPERLINK("http://ovidsp.ovid.com/ovidweb.cgi?T=JS&amp;NEWS=n&amp;CSC=Y&amp;PAGE=booktext&amp;D=books&amp;AN=01222972$&amp;XPATH=/PG(0)&amp;EPUB=Y","http://ovidsp.ovid.com/ovidweb.cgi?T=JS&amp;NEWS=n&amp;CSC=Y&amp;PAGE=booktext&amp;D=books&amp;AN=01222972$&amp;XPATH=/PG(0)&amp;EPUB=Y")</f>
        <v>http://ovidsp.ovid.com/ovidweb.cgi?T=JS&amp;NEWS=n&amp;CSC=Y&amp;PAGE=booktext&amp;D=books&amp;AN=01222972$&amp;XPATH=/PG(0)&amp;EPUB=Y</v>
      </c>
      <c r="G38" t="s">
        <v>2139</v>
      </c>
      <c r="H38" t="s">
        <v>2974</v>
      </c>
      <c r="I38">
        <v>1206726</v>
      </c>
      <c r="J38" t="s">
        <v>3263</v>
      </c>
      <c r="K38" t="s">
        <v>1664</v>
      </c>
    </row>
    <row r="39" spans="1:11" x14ac:dyDescent="0.3">
      <c r="A39" t="s">
        <v>146</v>
      </c>
      <c r="B39" t="s">
        <v>1074</v>
      </c>
      <c r="C39" t="s">
        <v>3457</v>
      </c>
      <c r="D39" t="s">
        <v>4111</v>
      </c>
      <c r="E39" t="s">
        <v>3051</v>
      </c>
      <c r="F39" s="1" t="str">
        <f>HYPERLINK("http://ovidsp.ovid.com/ovidweb.cgi?T=JS&amp;NEWS=n&amp;CSC=Y&amp;PAGE=booktext&amp;D=books&amp;AN=00139872$&amp;XPATH=/PG(0)&amp;EPUB=Y","http://ovidsp.ovid.com/ovidweb.cgi?T=JS&amp;NEWS=n&amp;CSC=Y&amp;PAGE=booktext&amp;D=books&amp;AN=00139872$&amp;XPATH=/PG(0)&amp;EPUB=Y")</f>
        <v>http://ovidsp.ovid.com/ovidweb.cgi?T=JS&amp;NEWS=n&amp;CSC=Y&amp;PAGE=booktext&amp;D=books&amp;AN=00139872$&amp;XPATH=/PG(0)&amp;EPUB=Y</v>
      </c>
      <c r="G39" t="s">
        <v>2139</v>
      </c>
      <c r="H39" t="s">
        <v>2974</v>
      </c>
      <c r="I39">
        <v>1206726</v>
      </c>
      <c r="J39" t="s">
        <v>3263</v>
      </c>
      <c r="K39" t="s">
        <v>2376</v>
      </c>
    </row>
    <row r="40" spans="1:11" x14ac:dyDescent="0.3">
      <c r="A40" t="s">
        <v>3170</v>
      </c>
      <c r="B40" t="s">
        <v>2349</v>
      </c>
      <c r="C40" t="s">
        <v>1579</v>
      </c>
      <c r="D40" t="s">
        <v>4111</v>
      </c>
      <c r="E40" t="s">
        <v>404</v>
      </c>
      <c r="F40" s="1" t="str">
        <f>HYPERLINK("http://ovidsp.ovid.com/ovidweb.cgi?T=JS&amp;NEWS=n&amp;CSC=Y&amp;PAGE=booktext&amp;D=books&amp;AN=01257037$&amp;XPATH=/PG(0)&amp;EPUB=Y","http://ovidsp.ovid.com/ovidweb.cgi?T=JS&amp;NEWS=n&amp;CSC=Y&amp;PAGE=booktext&amp;D=books&amp;AN=01257037$&amp;XPATH=/PG(0)&amp;EPUB=Y")</f>
        <v>http://ovidsp.ovid.com/ovidweb.cgi?T=JS&amp;NEWS=n&amp;CSC=Y&amp;PAGE=booktext&amp;D=books&amp;AN=01257037$&amp;XPATH=/PG(0)&amp;EPUB=Y</v>
      </c>
      <c r="G40" t="s">
        <v>2139</v>
      </c>
      <c r="H40" t="s">
        <v>2974</v>
      </c>
      <c r="I40">
        <v>1206726</v>
      </c>
      <c r="J40" t="s">
        <v>3263</v>
      </c>
      <c r="K40" t="s">
        <v>1983</v>
      </c>
    </row>
    <row r="41" spans="1:11" x14ac:dyDescent="0.3">
      <c r="A41" t="s">
        <v>2699</v>
      </c>
      <c r="B41" t="s">
        <v>1939</v>
      </c>
      <c r="C41" t="s">
        <v>3784</v>
      </c>
      <c r="D41" t="s">
        <v>4111</v>
      </c>
      <c r="E41" t="s">
        <v>2223</v>
      </c>
      <c r="F41" s="1" t="str">
        <f>HYPERLINK("http://ovidsp.ovid.com/ovidweb.cgi?T=JS&amp;NEWS=n&amp;CSC=Y&amp;PAGE=booktext&amp;D=books&amp;AN=01382695$&amp;XPATH=/PG(0)&amp;EPUB=Y","http://ovidsp.ovid.com/ovidweb.cgi?T=JS&amp;NEWS=n&amp;CSC=Y&amp;PAGE=booktext&amp;D=books&amp;AN=01382695$&amp;XPATH=/PG(0)&amp;EPUB=Y")</f>
        <v>http://ovidsp.ovid.com/ovidweb.cgi?T=JS&amp;NEWS=n&amp;CSC=Y&amp;PAGE=booktext&amp;D=books&amp;AN=01382695$&amp;XPATH=/PG(0)&amp;EPUB=Y</v>
      </c>
      <c r="G41" t="s">
        <v>2139</v>
      </c>
      <c r="H41" t="s">
        <v>2974</v>
      </c>
      <c r="I41">
        <v>1206726</v>
      </c>
      <c r="J41" t="s">
        <v>3263</v>
      </c>
      <c r="K41" t="s">
        <v>513</v>
      </c>
    </row>
    <row r="42" spans="1:11" x14ac:dyDescent="0.3">
      <c r="A42" t="s">
        <v>3700</v>
      </c>
      <c r="B42" t="s">
        <v>2887</v>
      </c>
      <c r="C42" t="s">
        <v>1947</v>
      </c>
      <c r="D42" t="s">
        <v>4111</v>
      </c>
      <c r="E42" t="s">
        <v>2223</v>
      </c>
      <c r="F42" s="1" t="str">
        <f>HYPERLINK("http://ovidsp.ovid.com/ovidweb.cgi?T=JS&amp;NEWS=n&amp;CSC=Y&amp;PAGE=booktext&amp;D=books&amp;AN=01279697$&amp;XPATH=/PG(0)&amp;EPUB=Y","http://ovidsp.ovid.com/ovidweb.cgi?T=JS&amp;NEWS=n&amp;CSC=Y&amp;PAGE=booktext&amp;D=books&amp;AN=01279697$&amp;XPATH=/PG(0)&amp;EPUB=Y")</f>
        <v>http://ovidsp.ovid.com/ovidweb.cgi?T=JS&amp;NEWS=n&amp;CSC=Y&amp;PAGE=booktext&amp;D=books&amp;AN=01279697$&amp;XPATH=/PG(0)&amp;EPUB=Y</v>
      </c>
      <c r="G42" t="s">
        <v>2139</v>
      </c>
      <c r="H42" t="s">
        <v>2974</v>
      </c>
      <c r="I42">
        <v>1206726</v>
      </c>
      <c r="J42" t="s">
        <v>3263</v>
      </c>
      <c r="K42" t="s">
        <v>3395</v>
      </c>
    </row>
    <row r="43" spans="1:11" x14ac:dyDescent="0.3">
      <c r="A43" t="s">
        <v>1542</v>
      </c>
      <c r="B43" t="s">
        <v>3206</v>
      </c>
      <c r="C43" t="s">
        <v>3790</v>
      </c>
      <c r="D43" t="s">
        <v>4111</v>
      </c>
      <c r="E43" t="s">
        <v>2223</v>
      </c>
      <c r="F43" s="1" t="str">
        <f>HYPERLINK("http://ovidsp.ovid.com/ovidweb.cgi?T=JS&amp;NEWS=n&amp;CSC=Y&amp;PAGE=booktext&amp;D=books&amp;AN=01382891$&amp;XPATH=/PG(0)&amp;EPUB=Y","http://ovidsp.ovid.com/ovidweb.cgi?T=JS&amp;NEWS=n&amp;CSC=Y&amp;PAGE=booktext&amp;D=books&amp;AN=01382891$&amp;XPATH=/PG(0)&amp;EPUB=Y")</f>
        <v>http://ovidsp.ovid.com/ovidweb.cgi?T=JS&amp;NEWS=n&amp;CSC=Y&amp;PAGE=booktext&amp;D=books&amp;AN=01382891$&amp;XPATH=/PG(0)&amp;EPUB=Y</v>
      </c>
      <c r="G43" t="s">
        <v>2139</v>
      </c>
      <c r="H43" t="s">
        <v>2974</v>
      </c>
      <c r="I43">
        <v>1206726</v>
      </c>
      <c r="J43" t="s">
        <v>3263</v>
      </c>
      <c r="K43" t="s">
        <v>4643</v>
      </c>
    </row>
    <row r="44" spans="1:11" x14ac:dyDescent="0.3">
      <c r="A44" t="s">
        <v>2533</v>
      </c>
      <c r="B44" t="s">
        <v>4029</v>
      </c>
      <c r="C44" t="s">
        <v>2215</v>
      </c>
      <c r="D44" t="s">
        <v>4111</v>
      </c>
      <c r="E44" t="s">
        <v>2223</v>
      </c>
      <c r="F44" s="1" t="str">
        <f>HYPERLINK("http://ovidsp.ovid.com/ovidweb.cgi?T=JS&amp;NEWS=n&amp;CSC=Y&amp;PAGE=booktext&amp;D=books&amp;AN=01438047$&amp;XPATH=/PG(0)&amp;EPUB=Y","http://ovidsp.ovid.com/ovidweb.cgi?T=JS&amp;NEWS=n&amp;CSC=Y&amp;PAGE=booktext&amp;D=books&amp;AN=01438047$&amp;XPATH=/PG(0)&amp;EPUB=Y")</f>
        <v>http://ovidsp.ovid.com/ovidweb.cgi?T=JS&amp;NEWS=n&amp;CSC=Y&amp;PAGE=booktext&amp;D=books&amp;AN=01438047$&amp;XPATH=/PG(0)&amp;EPUB=Y</v>
      </c>
      <c r="G44" t="s">
        <v>2139</v>
      </c>
      <c r="H44" t="s">
        <v>2974</v>
      </c>
      <c r="I44">
        <v>1206726</v>
      </c>
      <c r="J44" t="s">
        <v>3263</v>
      </c>
      <c r="K44" t="s">
        <v>3119</v>
      </c>
    </row>
    <row r="45" spans="1:11" x14ac:dyDescent="0.3">
      <c r="A45" t="s">
        <v>2216</v>
      </c>
      <c r="B45" t="s">
        <v>1309</v>
      </c>
      <c r="C45" t="s">
        <v>3241</v>
      </c>
      <c r="D45" t="s">
        <v>4111</v>
      </c>
      <c r="E45" t="s">
        <v>2223</v>
      </c>
      <c r="F45" s="1" t="str">
        <f>HYPERLINK("http://ovidsp.ovid.com/ovidweb.cgi?T=JS&amp;NEWS=n&amp;CSC=Y&amp;PAGE=booktext&amp;D=books&amp;AN=01437572$&amp;XPATH=/PG(0)&amp;EPUB=Y","http://ovidsp.ovid.com/ovidweb.cgi?T=JS&amp;NEWS=n&amp;CSC=Y&amp;PAGE=booktext&amp;D=books&amp;AN=01437572$&amp;XPATH=/PG(0)&amp;EPUB=Y")</f>
        <v>http://ovidsp.ovid.com/ovidweb.cgi?T=JS&amp;NEWS=n&amp;CSC=Y&amp;PAGE=booktext&amp;D=books&amp;AN=01437572$&amp;XPATH=/PG(0)&amp;EPUB=Y</v>
      </c>
      <c r="G45" t="s">
        <v>2139</v>
      </c>
      <c r="H45" t="s">
        <v>2974</v>
      </c>
      <c r="I45">
        <v>1206726</v>
      </c>
      <c r="J45" t="s">
        <v>3263</v>
      </c>
      <c r="K45" t="s">
        <v>2110</v>
      </c>
    </row>
    <row r="46" spans="1:11" x14ac:dyDescent="0.3">
      <c r="A46" t="s">
        <v>2165</v>
      </c>
      <c r="B46" t="s">
        <v>665</v>
      </c>
      <c r="C46" t="s">
        <v>881</v>
      </c>
      <c r="D46" t="s">
        <v>4111</v>
      </c>
      <c r="E46" t="s">
        <v>2223</v>
      </c>
      <c r="F46" s="1" t="str">
        <f>HYPERLINK("http://ovidsp.ovid.com/ovidweb.cgi?T=JS&amp;NEWS=n&amp;CSC=Y&amp;PAGE=booktext&amp;D=books&amp;AN=01257000$&amp;XPATH=/PG(0)&amp;EPUB=Y","http://ovidsp.ovid.com/ovidweb.cgi?T=JS&amp;NEWS=n&amp;CSC=Y&amp;PAGE=booktext&amp;D=books&amp;AN=01257000$&amp;XPATH=/PG(0)&amp;EPUB=Y")</f>
        <v>http://ovidsp.ovid.com/ovidweb.cgi?T=JS&amp;NEWS=n&amp;CSC=Y&amp;PAGE=booktext&amp;D=books&amp;AN=01257000$&amp;XPATH=/PG(0)&amp;EPUB=Y</v>
      </c>
      <c r="G46" t="s">
        <v>2139</v>
      </c>
      <c r="H46" t="s">
        <v>2974</v>
      </c>
      <c r="I46">
        <v>1206726</v>
      </c>
      <c r="J46" t="s">
        <v>3263</v>
      </c>
      <c r="K46" t="s">
        <v>141</v>
      </c>
    </row>
    <row r="47" spans="1:11" x14ac:dyDescent="0.3">
      <c r="A47" t="s">
        <v>2263</v>
      </c>
      <c r="B47" t="s">
        <v>4215</v>
      </c>
      <c r="C47" t="s">
        <v>504</v>
      </c>
      <c r="D47" t="s">
        <v>4111</v>
      </c>
      <c r="E47" t="s">
        <v>2223</v>
      </c>
      <c r="F47" s="1" t="str">
        <f>HYPERLINK("http://ovidsp.ovid.com/ovidweb.cgi?T=JS&amp;NEWS=n&amp;CSC=Y&amp;PAGE=booktext&amp;D=books&amp;AN=01382421$&amp;XPATH=/PG(0)&amp;EPUB=Y","http://ovidsp.ovid.com/ovidweb.cgi?T=JS&amp;NEWS=n&amp;CSC=Y&amp;PAGE=booktext&amp;D=books&amp;AN=01382421$&amp;XPATH=/PG(0)&amp;EPUB=Y")</f>
        <v>http://ovidsp.ovid.com/ovidweb.cgi?T=JS&amp;NEWS=n&amp;CSC=Y&amp;PAGE=booktext&amp;D=books&amp;AN=01382421$&amp;XPATH=/PG(0)&amp;EPUB=Y</v>
      </c>
      <c r="G47" t="s">
        <v>2139</v>
      </c>
      <c r="H47" t="s">
        <v>2974</v>
      </c>
      <c r="I47">
        <v>1206726</v>
      </c>
      <c r="J47" t="s">
        <v>3263</v>
      </c>
      <c r="K47" t="s">
        <v>1741</v>
      </c>
    </row>
    <row r="48" spans="1:11" x14ac:dyDescent="0.3">
      <c r="A48" t="s">
        <v>386</v>
      </c>
      <c r="B48" t="s">
        <v>3515</v>
      </c>
      <c r="C48" t="s">
        <v>1668</v>
      </c>
      <c r="D48" t="s">
        <v>4111</v>
      </c>
      <c r="E48" t="s">
        <v>1104</v>
      </c>
      <c r="F48" s="1" t="str">
        <f>HYPERLINK("http://ovidsp.ovid.com/ovidweb.cgi?T=JS&amp;NEWS=n&amp;CSC=Y&amp;PAGE=booktext&amp;D=books&amp;AN=01438430$&amp;XPATH=/PG(0)&amp;EPUB=Y","http://ovidsp.ovid.com/ovidweb.cgi?T=JS&amp;NEWS=n&amp;CSC=Y&amp;PAGE=booktext&amp;D=books&amp;AN=01438430$&amp;XPATH=/PG(0)&amp;EPUB=Y")</f>
        <v>http://ovidsp.ovid.com/ovidweb.cgi?T=JS&amp;NEWS=n&amp;CSC=Y&amp;PAGE=booktext&amp;D=books&amp;AN=01438430$&amp;XPATH=/PG(0)&amp;EPUB=Y</v>
      </c>
      <c r="G48" t="s">
        <v>2139</v>
      </c>
      <c r="H48" t="s">
        <v>2974</v>
      </c>
      <c r="I48">
        <v>1206726</v>
      </c>
      <c r="J48" t="s">
        <v>3263</v>
      </c>
      <c r="K48" t="s">
        <v>1737</v>
      </c>
    </row>
    <row r="49" spans="1:11" x14ac:dyDescent="0.3">
      <c r="A49" t="s">
        <v>211</v>
      </c>
      <c r="B49" t="s">
        <v>643</v>
      </c>
      <c r="C49" t="s">
        <v>4475</v>
      </c>
      <c r="D49" t="s">
        <v>4111</v>
      </c>
      <c r="E49" t="s">
        <v>1104</v>
      </c>
      <c r="F49" s="1" t="str">
        <f>HYPERLINK("http://ovidsp.ovid.com/ovidweb.cgi?T=JS&amp;NEWS=n&amp;CSC=Y&amp;PAGE=booktext&amp;D=books&amp;AN=01807316$&amp;XPATH=/PG(0)&amp;EPUB=Y","http://ovidsp.ovid.com/ovidweb.cgi?T=JS&amp;NEWS=n&amp;CSC=Y&amp;PAGE=booktext&amp;D=books&amp;AN=01807316$&amp;XPATH=/PG(0)&amp;EPUB=Y")</f>
        <v>http://ovidsp.ovid.com/ovidweb.cgi?T=JS&amp;NEWS=n&amp;CSC=Y&amp;PAGE=booktext&amp;D=books&amp;AN=01807316$&amp;XPATH=/PG(0)&amp;EPUB=Y</v>
      </c>
      <c r="G49" t="s">
        <v>2139</v>
      </c>
      <c r="H49" t="s">
        <v>2974</v>
      </c>
      <c r="I49">
        <v>1206726</v>
      </c>
      <c r="J49" t="s">
        <v>3263</v>
      </c>
      <c r="K49" t="s">
        <v>1378</v>
      </c>
    </row>
    <row r="50" spans="1:11" x14ac:dyDescent="0.3">
      <c r="A50" t="s">
        <v>2714</v>
      </c>
      <c r="B50" t="s">
        <v>3211</v>
      </c>
      <c r="C50" t="s">
        <v>2798</v>
      </c>
      <c r="D50" t="s">
        <v>4111</v>
      </c>
      <c r="E50" t="s">
        <v>2223</v>
      </c>
      <c r="F50" s="1" t="str">
        <f>HYPERLINK("http://ovidsp.ovid.com/ovidweb.cgi?T=JS&amp;NEWS=n&amp;CSC=Y&amp;PAGE=booktext&amp;D=books&amp;AN=01382768$&amp;XPATH=/PG(0)&amp;EPUB=Y","http://ovidsp.ovid.com/ovidweb.cgi?T=JS&amp;NEWS=n&amp;CSC=Y&amp;PAGE=booktext&amp;D=books&amp;AN=01382768$&amp;XPATH=/PG(0)&amp;EPUB=Y")</f>
        <v>http://ovidsp.ovid.com/ovidweb.cgi?T=JS&amp;NEWS=n&amp;CSC=Y&amp;PAGE=booktext&amp;D=books&amp;AN=01382768$&amp;XPATH=/PG(0)&amp;EPUB=Y</v>
      </c>
      <c r="G50" t="s">
        <v>2139</v>
      </c>
      <c r="H50" t="s">
        <v>2974</v>
      </c>
      <c r="I50">
        <v>1206726</v>
      </c>
      <c r="J50" t="s">
        <v>3263</v>
      </c>
      <c r="K50" t="s">
        <v>551</v>
      </c>
    </row>
    <row r="51" spans="1:11" x14ac:dyDescent="0.3">
      <c r="A51" t="s">
        <v>3976</v>
      </c>
      <c r="B51" t="s">
        <v>1189</v>
      </c>
      <c r="C51" t="s">
        <v>3329</v>
      </c>
      <c r="D51" t="s">
        <v>4111</v>
      </c>
      <c r="E51" t="s">
        <v>404</v>
      </c>
      <c r="F51" s="1" t="str">
        <f>HYPERLINK("http://ovidsp.ovid.com/ovidweb.cgi?T=JS&amp;NEWS=n&amp;CSC=Y&amp;PAGE=booktext&amp;D=books&amp;AN=01382521$&amp;XPATH=/PG(0)&amp;EPUB=Y","http://ovidsp.ovid.com/ovidweb.cgi?T=JS&amp;NEWS=n&amp;CSC=Y&amp;PAGE=booktext&amp;D=books&amp;AN=01382521$&amp;XPATH=/PG(0)&amp;EPUB=Y")</f>
        <v>http://ovidsp.ovid.com/ovidweb.cgi?T=JS&amp;NEWS=n&amp;CSC=Y&amp;PAGE=booktext&amp;D=books&amp;AN=01382521$&amp;XPATH=/PG(0)&amp;EPUB=Y</v>
      </c>
      <c r="G51" t="s">
        <v>2139</v>
      </c>
      <c r="H51" t="s">
        <v>2974</v>
      </c>
      <c r="I51">
        <v>1206726</v>
      </c>
      <c r="J51" t="s">
        <v>3263</v>
      </c>
      <c r="K51" t="s">
        <v>3847</v>
      </c>
    </row>
    <row r="52" spans="1:11" x14ac:dyDescent="0.3">
      <c r="A52" t="s">
        <v>591</v>
      </c>
      <c r="B52" t="s">
        <v>609</v>
      </c>
      <c r="C52" t="s">
        <v>3063</v>
      </c>
      <c r="D52" t="s">
        <v>4111</v>
      </c>
      <c r="E52" t="s">
        <v>1104</v>
      </c>
      <c r="F52" s="1" t="str">
        <f>HYPERLINK("http://ovidsp.ovid.com/ovidweb.cgi?T=JS&amp;NEWS=n&amp;CSC=Y&amp;PAGE=booktext&amp;D=books&amp;AN=01382722$&amp;XPATH=/PG(0)&amp;EPUB=Y","http://ovidsp.ovid.com/ovidweb.cgi?T=JS&amp;NEWS=n&amp;CSC=Y&amp;PAGE=booktext&amp;D=books&amp;AN=01382722$&amp;XPATH=/PG(0)&amp;EPUB=Y")</f>
        <v>http://ovidsp.ovid.com/ovidweb.cgi?T=JS&amp;NEWS=n&amp;CSC=Y&amp;PAGE=booktext&amp;D=books&amp;AN=01382722$&amp;XPATH=/PG(0)&amp;EPUB=Y</v>
      </c>
      <c r="G52" t="s">
        <v>2139</v>
      </c>
      <c r="H52" t="s">
        <v>2974</v>
      </c>
      <c r="I52">
        <v>1206726</v>
      </c>
      <c r="J52" t="s">
        <v>3263</v>
      </c>
      <c r="K52" t="s">
        <v>1776</v>
      </c>
    </row>
    <row r="53" spans="1:11" x14ac:dyDescent="0.3">
      <c r="A53" t="s">
        <v>591</v>
      </c>
      <c r="B53" t="s">
        <v>3260</v>
      </c>
      <c r="C53" t="s">
        <v>193</v>
      </c>
      <c r="D53" t="s">
        <v>4111</v>
      </c>
      <c r="E53" t="s">
        <v>3051</v>
      </c>
      <c r="F53" s="1" t="str">
        <f>HYPERLINK("http://ovidsp.ovid.com/ovidweb.cgi?T=JS&amp;NEWS=n&amp;CSC=Y&amp;PAGE=booktext&amp;D=books&amp;AN=01745913$&amp;XPATH=/PG(0)&amp;EPUB=Y","http://ovidsp.ovid.com/ovidweb.cgi?T=JS&amp;NEWS=n&amp;CSC=Y&amp;PAGE=booktext&amp;D=books&amp;AN=01745913$&amp;XPATH=/PG(0)&amp;EPUB=Y")</f>
        <v>http://ovidsp.ovid.com/ovidweb.cgi?T=JS&amp;NEWS=n&amp;CSC=Y&amp;PAGE=booktext&amp;D=books&amp;AN=01745913$&amp;XPATH=/PG(0)&amp;EPUB=Y</v>
      </c>
      <c r="G53" t="s">
        <v>2139</v>
      </c>
      <c r="H53" t="s">
        <v>2974</v>
      </c>
      <c r="I53">
        <v>1206726</v>
      </c>
      <c r="J53" t="s">
        <v>3263</v>
      </c>
      <c r="K53" t="s">
        <v>2040</v>
      </c>
    </row>
    <row r="54" spans="1:11" x14ac:dyDescent="0.3">
      <c r="A54" t="s">
        <v>3903</v>
      </c>
      <c r="B54" t="s">
        <v>3443</v>
      </c>
      <c r="C54" t="s">
        <v>4389</v>
      </c>
      <c r="D54" t="s">
        <v>4111</v>
      </c>
      <c r="E54" t="s">
        <v>2223</v>
      </c>
      <c r="F54" s="1" t="str">
        <f>HYPERLINK("http://ovidsp.ovid.com/ovidweb.cgi?T=JS&amp;NEWS=n&amp;CSC=Y&amp;PAGE=booktext&amp;D=books&amp;AN=01382734$&amp;XPATH=/PG(0)&amp;EPUB=Y","http://ovidsp.ovid.com/ovidweb.cgi?T=JS&amp;NEWS=n&amp;CSC=Y&amp;PAGE=booktext&amp;D=books&amp;AN=01382734$&amp;XPATH=/PG(0)&amp;EPUB=Y")</f>
        <v>http://ovidsp.ovid.com/ovidweb.cgi?T=JS&amp;NEWS=n&amp;CSC=Y&amp;PAGE=booktext&amp;D=books&amp;AN=01382734$&amp;XPATH=/PG(0)&amp;EPUB=Y</v>
      </c>
      <c r="G54" t="s">
        <v>2139</v>
      </c>
      <c r="H54" t="s">
        <v>2974</v>
      </c>
      <c r="I54">
        <v>1206726</v>
      </c>
      <c r="J54" t="s">
        <v>3263</v>
      </c>
      <c r="K54" t="s">
        <v>3869</v>
      </c>
    </row>
    <row r="55" spans="1:11" x14ac:dyDescent="0.3">
      <c r="A55" t="s">
        <v>666</v>
      </c>
      <c r="B55" t="s">
        <v>1902</v>
      </c>
      <c r="C55" t="s">
        <v>3231</v>
      </c>
      <c r="D55" t="s">
        <v>4111</v>
      </c>
      <c r="E55" t="s">
        <v>2223</v>
      </c>
      <c r="F55" s="1" t="str">
        <f>HYPERLINK("http://ovidsp.ovid.com/ovidweb.cgi?T=JS&amp;NEWS=n&amp;CSC=Y&amp;PAGE=booktext&amp;D=books&amp;AN=01382737$&amp;XPATH=/PG(0)&amp;EPUB=Y","http://ovidsp.ovid.com/ovidweb.cgi?T=JS&amp;NEWS=n&amp;CSC=Y&amp;PAGE=booktext&amp;D=books&amp;AN=01382737$&amp;XPATH=/PG(0)&amp;EPUB=Y")</f>
        <v>http://ovidsp.ovid.com/ovidweb.cgi?T=JS&amp;NEWS=n&amp;CSC=Y&amp;PAGE=booktext&amp;D=books&amp;AN=01382737$&amp;XPATH=/PG(0)&amp;EPUB=Y</v>
      </c>
      <c r="G55" t="s">
        <v>2139</v>
      </c>
      <c r="H55" t="s">
        <v>2974</v>
      </c>
      <c r="I55">
        <v>1206726</v>
      </c>
      <c r="J55" t="s">
        <v>3263</v>
      </c>
      <c r="K55" t="s">
        <v>1912</v>
      </c>
    </row>
    <row r="56" spans="1:11" x14ac:dyDescent="0.3">
      <c r="A56" t="s">
        <v>3033</v>
      </c>
      <c r="B56" t="s">
        <v>4719</v>
      </c>
      <c r="C56" t="s">
        <v>662</v>
      </c>
      <c r="D56" t="s">
        <v>4111</v>
      </c>
      <c r="E56" t="s">
        <v>2223</v>
      </c>
      <c r="F56" s="1" t="str">
        <f>HYPERLINK("http://ovidsp.ovid.com/ovidweb.cgi?T=JS&amp;NEWS=n&amp;CSC=Y&amp;PAGE=booktext&amp;D=books&amp;AN=01429588$&amp;XPATH=/PG(0)&amp;EPUB=Y","http://ovidsp.ovid.com/ovidweb.cgi?T=JS&amp;NEWS=n&amp;CSC=Y&amp;PAGE=booktext&amp;D=books&amp;AN=01429588$&amp;XPATH=/PG(0)&amp;EPUB=Y")</f>
        <v>http://ovidsp.ovid.com/ovidweb.cgi?T=JS&amp;NEWS=n&amp;CSC=Y&amp;PAGE=booktext&amp;D=books&amp;AN=01429588$&amp;XPATH=/PG(0)&amp;EPUB=Y</v>
      </c>
      <c r="G56" t="s">
        <v>2139</v>
      </c>
      <c r="H56" t="s">
        <v>2974</v>
      </c>
      <c r="I56">
        <v>1206726</v>
      </c>
      <c r="J56" t="s">
        <v>3263</v>
      </c>
      <c r="K56" t="s">
        <v>1994</v>
      </c>
    </row>
    <row r="57" spans="1:11" x14ac:dyDescent="0.3">
      <c r="A57" t="s">
        <v>3833</v>
      </c>
      <c r="B57" t="s">
        <v>294</v>
      </c>
      <c r="C57" t="s">
        <v>1573</v>
      </c>
      <c r="D57" t="s">
        <v>4111</v>
      </c>
      <c r="E57" t="s">
        <v>404</v>
      </c>
      <c r="F57" s="1" t="str">
        <f>HYPERLINK("http://ovidsp.ovid.com/ovidweb.cgi?T=JS&amp;NEWS=n&amp;CSC=Y&amp;PAGE=booktext&amp;D=books&amp;AN=01256989$&amp;XPATH=/PG(0)&amp;EPUB=Y","http://ovidsp.ovid.com/ovidweb.cgi?T=JS&amp;NEWS=n&amp;CSC=Y&amp;PAGE=booktext&amp;D=books&amp;AN=01256989$&amp;XPATH=/PG(0)&amp;EPUB=Y")</f>
        <v>http://ovidsp.ovid.com/ovidweb.cgi?T=JS&amp;NEWS=n&amp;CSC=Y&amp;PAGE=booktext&amp;D=books&amp;AN=01256989$&amp;XPATH=/PG(0)&amp;EPUB=Y</v>
      </c>
      <c r="G57" t="s">
        <v>2139</v>
      </c>
      <c r="H57" t="s">
        <v>2974</v>
      </c>
      <c r="I57">
        <v>1206726</v>
      </c>
      <c r="J57" t="s">
        <v>3263</v>
      </c>
      <c r="K57" t="s">
        <v>3567</v>
      </c>
    </row>
    <row r="58" spans="1:11" x14ac:dyDescent="0.3">
      <c r="A58" t="s">
        <v>2617</v>
      </c>
      <c r="B58" t="s">
        <v>1478</v>
      </c>
      <c r="C58" t="s">
        <v>2639</v>
      </c>
      <c r="D58" t="s">
        <v>4111</v>
      </c>
      <c r="E58" t="s">
        <v>404</v>
      </c>
      <c r="F58" s="1" t="str">
        <f>HYPERLINK("http://ovidsp.ovid.com/ovidweb.cgi?T=JS&amp;NEWS=n&amp;CSC=Y&amp;PAGE=booktext&amp;D=books&amp;AN=01382422$&amp;XPATH=/PG(0)&amp;EPUB=Y","http://ovidsp.ovid.com/ovidweb.cgi?T=JS&amp;NEWS=n&amp;CSC=Y&amp;PAGE=booktext&amp;D=books&amp;AN=01382422$&amp;XPATH=/PG(0)&amp;EPUB=Y")</f>
        <v>http://ovidsp.ovid.com/ovidweb.cgi?T=JS&amp;NEWS=n&amp;CSC=Y&amp;PAGE=booktext&amp;D=books&amp;AN=01382422$&amp;XPATH=/PG(0)&amp;EPUB=Y</v>
      </c>
      <c r="G58" t="s">
        <v>2139</v>
      </c>
      <c r="H58" t="s">
        <v>2974</v>
      </c>
      <c r="I58">
        <v>1206726</v>
      </c>
      <c r="J58" t="s">
        <v>3263</v>
      </c>
      <c r="K58" t="s">
        <v>190</v>
      </c>
    </row>
    <row r="59" spans="1:11" x14ac:dyDescent="0.3">
      <c r="A59" t="s">
        <v>2489</v>
      </c>
      <c r="B59" t="s">
        <v>2256</v>
      </c>
      <c r="C59" t="s">
        <v>890</v>
      </c>
      <c r="D59" t="s">
        <v>4111</v>
      </c>
      <c r="E59" t="s">
        <v>2223</v>
      </c>
      <c r="F59" s="1" t="str">
        <f>HYPERLINK("http://ovidsp.ovid.com/ovidweb.cgi?T=JS&amp;NEWS=n&amp;CSC=Y&amp;PAGE=booktext&amp;D=books&amp;AN=01745940$&amp;XPATH=/PG(0)&amp;EPUB=Y","http://ovidsp.ovid.com/ovidweb.cgi?T=JS&amp;NEWS=n&amp;CSC=Y&amp;PAGE=booktext&amp;D=books&amp;AN=01745940$&amp;XPATH=/PG(0)&amp;EPUB=Y")</f>
        <v>http://ovidsp.ovid.com/ovidweb.cgi?T=JS&amp;NEWS=n&amp;CSC=Y&amp;PAGE=booktext&amp;D=books&amp;AN=01745940$&amp;XPATH=/PG(0)&amp;EPUB=Y</v>
      </c>
      <c r="G59" t="s">
        <v>2139</v>
      </c>
      <c r="H59" t="s">
        <v>2974</v>
      </c>
      <c r="I59">
        <v>1206726</v>
      </c>
      <c r="J59" t="s">
        <v>3263</v>
      </c>
      <c r="K59" t="s">
        <v>2557</v>
      </c>
    </row>
    <row r="60" spans="1:11" x14ac:dyDescent="0.3">
      <c r="A60" t="s">
        <v>1305</v>
      </c>
      <c r="B60" t="s">
        <v>2262</v>
      </c>
      <c r="C60" t="s">
        <v>2416</v>
      </c>
      <c r="D60" t="s">
        <v>4111</v>
      </c>
      <c r="E60" t="s">
        <v>3051</v>
      </c>
      <c r="F60" s="1" t="str">
        <f>HYPERLINK("http://ovidsp.ovid.com/ovidweb.cgi?T=JS&amp;NEWS=n&amp;CSC=Y&amp;PAGE=booktext&amp;D=books&amp;AN=01429437$&amp;XPATH=/PG(0)&amp;EPUB=Y","http://ovidsp.ovid.com/ovidweb.cgi?T=JS&amp;NEWS=n&amp;CSC=Y&amp;PAGE=booktext&amp;D=books&amp;AN=01429437$&amp;XPATH=/PG(0)&amp;EPUB=Y")</f>
        <v>http://ovidsp.ovid.com/ovidweb.cgi?T=JS&amp;NEWS=n&amp;CSC=Y&amp;PAGE=booktext&amp;D=books&amp;AN=01429437$&amp;XPATH=/PG(0)&amp;EPUB=Y</v>
      </c>
      <c r="G60" t="s">
        <v>2139</v>
      </c>
      <c r="H60" t="s">
        <v>2974</v>
      </c>
      <c r="I60">
        <v>1206726</v>
      </c>
      <c r="J60" t="s">
        <v>3263</v>
      </c>
      <c r="K60" t="s">
        <v>4396</v>
      </c>
    </row>
    <row r="61" spans="1:11" x14ac:dyDescent="0.3">
      <c r="A61" t="s">
        <v>1647</v>
      </c>
      <c r="B61" t="s">
        <v>100</v>
      </c>
      <c r="C61" t="s">
        <v>4128</v>
      </c>
      <c r="D61" t="s">
        <v>4111</v>
      </c>
      <c r="E61" t="s">
        <v>2223</v>
      </c>
      <c r="F61" s="1" t="str">
        <f>HYPERLINK("http://ovidsp.ovid.com/ovidweb.cgi?T=JS&amp;NEWS=n&amp;CSC=Y&amp;PAGE=booktext&amp;D=books&amp;AN=01337155$&amp;XPATH=/PG(0)&amp;EPUB=Y","http://ovidsp.ovid.com/ovidweb.cgi?T=JS&amp;NEWS=n&amp;CSC=Y&amp;PAGE=booktext&amp;D=books&amp;AN=01337155$&amp;XPATH=/PG(0)&amp;EPUB=Y")</f>
        <v>http://ovidsp.ovid.com/ovidweb.cgi?T=JS&amp;NEWS=n&amp;CSC=Y&amp;PAGE=booktext&amp;D=books&amp;AN=01337155$&amp;XPATH=/PG(0)&amp;EPUB=Y</v>
      </c>
      <c r="G61" t="s">
        <v>2139</v>
      </c>
      <c r="H61" t="s">
        <v>2974</v>
      </c>
      <c r="I61">
        <v>1206726</v>
      </c>
      <c r="J61" t="s">
        <v>3263</v>
      </c>
      <c r="K61" t="s">
        <v>4370</v>
      </c>
    </row>
    <row r="62" spans="1:11" x14ac:dyDescent="0.3">
      <c r="A62" t="s">
        <v>3878</v>
      </c>
      <c r="B62" t="s">
        <v>4297</v>
      </c>
      <c r="C62" t="s">
        <v>2459</v>
      </c>
      <c r="D62" t="s">
        <v>4111</v>
      </c>
      <c r="E62" t="s">
        <v>2876</v>
      </c>
      <c r="F62" s="1" t="str">
        <f>HYPERLINK("http://ovidsp.ovid.com/ovidweb.cgi?T=JS&amp;NEWS=n&amp;CSC=Y&amp;PAGE=booktext&amp;D=books&amp;AN=01222974$&amp;XPATH=/PG(0)&amp;EPUB=Y","http://ovidsp.ovid.com/ovidweb.cgi?T=JS&amp;NEWS=n&amp;CSC=Y&amp;PAGE=booktext&amp;D=books&amp;AN=01222974$&amp;XPATH=/PG(0)&amp;EPUB=Y")</f>
        <v>http://ovidsp.ovid.com/ovidweb.cgi?T=JS&amp;NEWS=n&amp;CSC=Y&amp;PAGE=booktext&amp;D=books&amp;AN=01222974$&amp;XPATH=/PG(0)&amp;EPUB=Y</v>
      </c>
      <c r="G62" t="s">
        <v>2139</v>
      </c>
      <c r="H62" t="s">
        <v>2974</v>
      </c>
      <c r="I62">
        <v>1206726</v>
      </c>
      <c r="J62" t="s">
        <v>3263</v>
      </c>
      <c r="K62" t="s">
        <v>1291</v>
      </c>
    </row>
    <row r="63" spans="1:11" x14ac:dyDescent="0.3">
      <c r="A63" t="s">
        <v>4727</v>
      </c>
      <c r="B63" t="s">
        <v>41</v>
      </c>
      <c r="C63" t="s">
        <v>888</v>
      </c>
      <c r="D63" t="s">
        <v>4111</v>
      </c>
      <c r="E63" t="s">
        <v>2876</v>
      </c>
      <c r="F63" s="1" t="str">
        <f>HYPERLINK("http://ovidsp.ovid.com/ovidweb.cgi?T=JS&amp;NEWS=n&amp;CSC=Y&amp;PAGE=booktext&amp;D=books&amp;AN=01382423$&amp;XPATH=/PG(0)&amp;EPUB=Y","http://ovidsp.ovid.com/ovidweb.cgi?T=JS&amp;NEWS=n&amp;CSC=Y&amp;PAGE=booktext&amp;D=books&amp;AN=01382423$&amp;XPATH=/PG(0)&amp;EPUB=Y")</f>
        <v>http://ovidsp.ovid.com/ovidweb.cgi?T=JS&amp;NEWS=n&amp;CSC=Y&amp;PAGE=booktext&amp;D=books&amp;AN=01382423$&amp;XPATH=/PG(0)&amp;EPUB=Y</v>
      </c>
      <c r="G63" t="s">
        <v>2139</v>
      </c>
      <c r="H63" t="s">
        <v>2974</v>
      </c>
      <c r="I63">
        <v>1206726</v>
      </c>
      <c r="J63" t="s">
        <v>3263</v>
      </c>
      <c r="K63" t="s">
        <v>4390</v>
      </c>
    </row>
    <row r="64" spans="1:11" x14ac:dyDescent="0.3">
      <c r="A64" t="s">
        <v>854</v>
      </c>
      <c r="B64" t="s">
        <v>1653</v>
      </c>
      <c r="C64" t="s">
        <v>850</v>
      </c>
      <c r="D64" t="s">
        <v>4111</v>
      </c>
      <c r="E64" t="s">
        <v>4273</v>
      </c>
      <c r="F64" s="1" t="str">
        <f>HYPERLINK("http://ovidsp.ovid.com/ovidweb.cgi?T=JS&amp;NEWS=n&amp;CSC=Y&amp;PAGE=booktext&amp;D=books&amp;AN=00140026$&amp;XPATH=/PG(0)&amp;EPUB=Y","http://ovidsp.ovid.com/ovidweb.cgi?T=JS&amp;NEWS=n&amp;CSC=Y&amp;PAGE=booktext&amp;D=books&amp;AN=00140026$&amp;XPATH=/PG(0)&amp;EPUB=Y")</f>
        <v>http://ovidsp.ovid.com/ovidweb.cgi?T=JS&amp;NEWS=n&amp;CSC=Y&amp;PAGE=booktext&amp;D=books&amp;AN=00140026$&amp;XPATH=/PG(0)&amp;EPUB=Y</v>
      </c>
      <c r="G64" t="s">
        <v>2139</v>
      </c>
      <c r="H64" t="s">
        <v>2974</v>
      </c>
      <c r="I64">
        <v>1206726</v>
      </c>
      <c r="J64" t="s">
        <v>3263</v>
      </c>
      <c r="K64" t="s">
        <v>4422</v>
      </c>
    </row>
    <row r="65" spans="1:11" x14ac:dyDescent="0.3">
      <c r="A65" t="s">
        <v>3997</v>
      </c>
      <c r="B65" t="s">
        <v>2646</v>
      </c>
      <c r="C65" t="s">
        <v>129</v>
      </c>
      <c r="D65" t="s">
        <v>4111</v>
      </c>
      <c r="E65" t="s">
        <v>2223</v>
      </c>
      <c r="F65" s="1" t="str">
        <f>HYPERLINK("http://ovidsp.ovid.com/ovidweb.cgi?T=JS&amp;NEWS=n&amp;CSC=Y&amp;PAGE=booktext&amp;D=books&amp;AN=01382424$&amp;XPATH=/PG(0)&amp;EPUB=Y","http://ovidsp.ovid.com/ovidweb.cgi?T=JS&amp;NEWS=n&amp;CSC=Y&amp;PAGE=booktext&amp;D=books&amp;AN=01382424$&amp;XPATH=/PG(0)&amp;EPUB=Y")</f>
        <v>http://ovidsp.ovid.com/ovidweb.cgi?T=JS&amp;NEWS=n&amp;CSC=Y&amp;PAGE=booktext&amp;D=books&amp;AN=01382424$&amp;XPATH=/PG(0)&amp;EPUB=Y</v>
      </c>
      <c r="G65" t="s">
        <v>2139</v>
      </c>
      <c r="H65" t="s">
        <v>2974</v>
      </c>
      <c r="I65">
        <v>1206726</v>
      </c>
      <c r="J65" t="s">
        <v>3263</v>
      </c>
      <c r="K65" t="s">
        <v>2867</v>
      </c>
    </row>
    <row r="66" spans="1:11" x14ac:dyDescent="0.3">
      <c r="A66" t="s">
        <v>2505</v>
      </c>
      <c r="B66" t="s">
        <v>4138</v>
      </c>
      <c r="C66" t="s">
        <v>2305</v>
      </c>
      <c r="D66" t="s">
        <v>4111</v>
      </c>
      <c r="E66" t="s">
        <v>404</v>
      </c>
      <c r="F66" s="1" t="str">
        <f>HYPERLINK("http://ovidsp.ovid.com/ovidweb.cgi?T=JS&amp;NEWS=n&amp;CSC=Y&amp;PAGE=booktext&amp;D=books&amp;AN=01857028$&amp;XPATH=/PG(0)&amp;EPUB=Y","http://ovidsp.ovid.com/ovidweb.cgi?T=JS&amp;NEWS=n&amp;CSC=Y&amp;PAGE=booktext&amp;D=books&amp;AN=01857028$&amp;XPATH=/PG(0)&amp;EPUB=Y")</f>
        <v>http://ovidsp.ovid.com/ovidweb.cgi?T=JS&amp;NEWS=n&amp;CSC=Y&amp;PAGE=booktext&amp;D=books&amp;AN=01857028$&amp;XPATH=/PG(0)&amp;EPUB=Y</v>
      </c>
      <c r="G66" t="s">
        <v>2139</v>
      </c>
      <c r="H66" t="s">
        <v>2974</v>
      </c>
      <c r="I66">
        <v>1206726</v>
      </c>
      <c r="J66" t="s">
        <v>3263</v>
      </c>
      <c r="K66" t="s">
        <v>2181</v>
      </c>
    </row>
    <row r="67" spans="1:11" x14ac:dyDescent="0.3">
      <c r="A67" t="s">
        <v>1157</v>
      </c>
      <c r="B67" t="s">
        <v>1816</v>
      </c>
      <c r="C67" t="s">
        <v>1372</v>
      </c>
      <c r="D67" t="s">
        <v>4111</v>
      </c>
      <c r="E67" t="s">
        <v>2876</v>
      </c>
      <c r="F67" s="1" t="str">
        <f>HYPERLINK("http://ovidsp.ovid.com/ovidweb.cgi?T=JS&amp;NEWS=n&amp;CSC=Y&amp;PAGE=booktext&amp;D=books&amp;AN=01787257$&amp;XPATH=/PG(0)&amp;EPUB=Y","http://ovidsp.ovid.com/ovidweb.cgi?T=JS&amp;NEWS=n&amp;CSC=Y&amp;PAGE=booktext&amp;D=books&amp;AN=01787257$&amp;XPATH=/PG(0)&amp;EPUB=Y")</f>
        <v>http://ovidsp.ovid.com/ovidweb.cgi?T=JS&amp;NEWS=n&amp;CSC=Y&amp;PAGE=booktext&amp;D=books&amp;AN=01787257$&amp;XPATH=/PG(0)&amp;EPUB=Y</v>
      </c>
      <c r="G67" t="s">
        <v>2139</v>
      </c>
      <c r="H67" t="s">
        <v>2974</v>
      </c>
      <c r="I67">
        <v>1206726</v>
      </c>
      <c r="J67" t="s">
        <v>3263</v>
      </c>
      <c r="K67" t="s">
        <v>1462</v>
      </c>
    </row>
    <row r="68" spans="1:11" x14ac:dyDescent="0.3">
      <c r="A68" t="s">
        <v>1703</v>
      </c>
      <c r="B68" t="s">
        <v>4550</v>
      </c>
      <c r="C68" t="s">
        <v>4532</v>
      </c>
      <c r="D68" t="s">
        <v>4111</v>
      </c>
      <c r="E68" t="s">
        <v>2223</v>
      </c>
      <c r="F68" s="1" t="str">
        <f>HYPERLINK("http://ovidsp.ovid.com/ovidweb.cgi?T=JS&amp;NEWS=n&amp;CSC=Y&amp;PAGE=booktext&amp;D=books&amp;AN=01382868$&amp;XPATH=/PG(0)&amp;EPUB=Y","http://ovidsp.ovid.com/ovidweb.cgi?T=JS&amp;NEWS=n&amp;CSC=Y&amp;PAGE=booktext&amp;D=books&amp;AN=01382868$&amp;XPATH=/PG(0)&amp;EPUB=Y")</f>
        <v>http://ovidsp.ovid.com/ovidweb.cgi?T=JS&amp;NEWS=n&amp;CSC=Y&amp;PAGE=booktext&amp;D=books&amp;AN=01382868$&amp;XPATH=/PG(0)&amp;EPUB=Y</v>
      </c>
      <c r="G68" t="s">
        <v>2139</v>
      </c>
      <c r="H68" t="s">
        <v>2974</v>
      </c>
      <c r="I68">
        <v>1206726</v>
      </c>
      <c r="J68" t="s">
        <v>3263</v>
      </c>
      <c r="K68" t="s">
        <v>3745</v>
      </c>
    </row>
    <row r="69" spans="1:11" x14ac:dyDescent="0.3">
      <c r="A69" t="s">
        <v>1790</v>
      </c>
      <c r="B69" t="s">
        <v>3596</v>
      </c>
      <c r="C69" t="s">
        <v>463</v>
      </c>
      <c r="D69" t="s">
        <v>4111</v>
      </c>
      <c r="E69" t="s">
        <v>3051</v>
      </c>
      <c r="F69" s="1" t="str">
        <f>HYPERLINK("http://ovidsp.ovid.com/ovidweb.cgi?T=JS&amp;NEWS=n&amp;CSC=Y&amp;PAGE=booktext&amp;D=books&amp;AN=01382741$&amp;XPATH=/PG(0)&amp;EPUB=Y","http://ovidsp.ovid.com/ovidweb.cgi?T=JS&amp;NEWS=n&amp;CSC=Y&amp;PAGE=booktext&amp;D=books&amp;AN=01382741$&amp;XPATH=/PG(0)&amp;EPUB=Y")</f>
        <v>http://ovidsp.ovid.com/ovidweb.cgi?T=JS&amp;NEWS=n&amp;CSC=Y&amp;PAGE=booktext&amp;D=books&amp;AN=01382741$&amp;XPATH=/PG(0)&amp;EPUB=Y</v>
      </c>
      <c r="G69" t="s">
        <v>2139</v>
      </c>
      <c r="H69" t="s">
        <v>2974</v>
      </c>
      <c r="I69">
        <v>1206726</v>
      </c>
      <c r="J69" t="s">
        <v>3263</v>
      </c>
      <c r="K69" t="s">
        <v>2949</v>
      </c>
    </row>
    <row r="70" spans="1:11" x14ac:dyDescent="0.3">
      <c r="A70" t="s">
        <v>2440</v>
      </c>
      <c r="B70" t="s">
        <v>226</v>
      </c>
      <c r="C70" t="s">
        <v>4108</v>
      </c>
      <c r="D70" t="s">
        <v>4111</v>
      </c>
      <c r="E70" t="s">
        <v>2223</v>
      </c>
      <c r="F70" s="1" t="str">
        <f>HYPERLINK("http://ovidsp.ovid.com/ovidweb.cgi?T=JS&amp;NEWS=n&amp;CSC=Y&amp;PAGE=booktext&amp;D=books&amp;AN=01382832$&amp;XPATH=/PG(0)&amp;EPUB=Y","http://ovidsp.ovid.com/ovidweb.cgi?T=JS&amp;NEWS=n&amp;CSC=Y&amp;PAGE=booktext&amp;D=books&amp;AN=01382832$&amp;XPATH=/PG(0)&amp;EPUB=Y")</f>
        <v>http://ovidsp.ovid.com/ovidweb.cgi?T=JS&amp;NEWS=n&amp;CSC=Y&amp;PAGE=booktext&amp;D=books&amp;AN=01382832$&amp;XPATH=/PG(0)&amp;EPUB=Y</v>
      </c>
      <c r="G70" t="s">
        <v>2139</v>
      </c>
      <c r="H70" t="s">
        <v>2974</v>
      </c>
      <c r="I70">
        <v>1206726</v>
      </c>
      <c r="J70" t="s">
        <v>3263</v>
      </c>
      <c r="K70" t="s">
        <v>973</v>
      </c>
    </row>
    <row r="71" spans="1:11" x14ac:dyDescent="0.3">
      <c r="A71" t="s">
        <v>1909</v>
      </c>
      <c r="B71" t="s">
        <v>3793</v>
      </c>
      <c r="C71" t="s">
        <v>2511</v>
      </c>
      <c r="D71" t="s">
        <v>4111</v>
      </c>
      <c r="E71" t="s">
        <v>404</v>
      </c>
      <c r="F71" s="1" t="str">
        <f>HYPERLINK("http://ovidsp.ovid.com/ovidweb.cgi?T=JS&amp;NEWS=n&amp;CSC=Y&amp;PAGE=booktext&amp;D=books&amp;AN=01429589$&amp;XPATH=/PG(0)&amp;EPUB=Y","http://ovidsp.ovid.com/ovidweb.cgi?T=JS&amp;NEWS=n&amp;CSC=Y&amp;PAGE=booktext&amp;D=books&amp;AN=01429589$&amp;XPATH=/PG(0)&amp;EPUB=Y")</f>
        <v>http://ovidsp.ovid.com/ovidweb.cgi?T=JS&amp;NEWS=n&amp;CSC=Y&amp;PAGE=booktext&amp;D=books&amp;AN=01429589$&amp;XPATH=/PG(0)&amp;EPUB=Y</v>
      </c>
      <c r="G71" t="s">
        <v>2139</v>
      </c>
      <c r="H71" t="s">
        <v>2974</v>
      </c>
      <c r="I71">
        <v>1206726</v>
      </c>
      <c r="J71" t="s">
        <v>3263</v>
      </c>
      <c r="K71" t="s">
        <v>1726</v>
      </c>
    </row>
    <row r="72" spans="1:11" x14ac:dyDescent="0.3">
      <c r="A72" t="s">
        <v>2425</v>
      </c>
      <c r="B72" t="s">
        <v>3453</v>
      </c>
      <c r="C72" t="s">
        <v>4308</v>
      </c>
      <c r="D72" t="s">
        <v>4111</v>
      </c>
      <c r="E72" t="s">
        <v>2223</v>
      </c>
      <c r="F72" s="1" t="str">
        <f>HYPERLINK("http://ovidsp.ovid.com/ovidweb.cgi?T=JS&amp;NEWS=n&amp;CSC=Y&amp;PAGE=booktext&amp;D=books&amp;AN=01382735$&amp;XPATH=/PG(0)&amp;EPUB=Y","http://ovidsp.ovid.com/ovidweb.cgi?T=JS&amp;NEWS=n&amp;CSC=Y&amp;PAGE=booktext&amp;D=books&amp;AN=01382735$&amp;XPATH=/PG(0)&amp;EPUB=Y")</f>
        <v>http://ovidsp.ovid.com/ovidweb.cgi?T=JS&amp;NEWS=n&amp;CSC=Y&amp;PAGE=booktext&amp;D=books&amp;AN=01382735$&amp;XPATH=/PG(0)&amp;EPUB=Y</v>
      </c>
      <c r="G72" t="s">
        <v>2139</v>
      </c>
      <c r="H72" t="s">
        <v>2974</v>
      </c>
      <c r="I72">
        <v>1206726</v>
      </c>
      <c r="J72" t="s">
        <v>3263</v>
      </c>
      <c r="K72" t="s">
        <v>3733</v>
      </c>
    </row>
    <row r="73" spans="1:11" x14ac:dyDescent="0.3">
      <c r="A73" t="s">
        <v>1260</v>
      </c>
      <c r="B73" t="s">
        <v>4670</v>
      </c>
      <c r="C73" t="s">
        <v>1210</v>
      </c>
      <c r="D73" t="s">
        <v>4111</v>
      </c>
      <c r="E73" t="s">
        <v>2223</v>
      </c>
      <c r="F73" s="1" t="str">
        <f>HYPERLINK("http://ovidsp.ovid.com/ovidweb.cgi?T=JS&amp;NEWS=n&amp;CSC=Y&amp;PAGE=booktext&amp;D=books&amp;AN=01429590$&amp;XPATH=/PG(0)&amp;EPUB=Y","http://ovidsp.ovid.com/ovidweb.cgi?T=JS&amp;NEWS=n&amp;CSC=Y&amp;PAGE=booktext&amp;D=books&amp;AN=01429590$&amp;XPATH=/PG(0)&amp;EPUB=Y")</f>
        <v>http://ovidsp.ovid.com/ovidweb.cgi?T=JS&amp;NEWS=n&amp;CSC=Y&amp;PAGE=booktext&amp;D=books&amp;AN=01429590$&amp;XPATH=/PG(0)&amp;EPUB=Y</v>
      </c>
      <c r="G73" t="s">
        <v>2139</v>
      </c>
      <c r="H73" t="s">
        <v>2974</v>
      </c>
      <c r="I73">
        <v>1206726</v>
      </c>
      <c r="J73" t="s">
        <v>3263</v>
      </c>
      <c r="K73" t="s">
        <v>4466</v>
      </c>
    </row>
    <row r="74" spans="1:11" x14ac:dyDescent="0.3">
      <c r="A74" t="s">
        <v>2426</v>
      </c>
      <c r="B74" t="s">
        <v>1804</v>
      </c>
      <c r="C74" t="s">
        <v>2042</v>
      </c>
      <c r="D74" t="s">
        <v>4111</v>
      </c>
      <c r="E74" t="s">
        <v>2223</v>
      </c>
      <c r="F74" s="1" t="str">
        <f>HYPERLINK("http://ovidsp.ovid.com/ovidweb.cgi?T=JS&amp;NEWS=n&amp;CSC=Y&amp;PAGE=booktext&amp;D=books&amp;AN=01436896$&amp;XPATH=/PG(0)&amp;EPUB=Y","http://ovidsp.ovid.com/ovidweb.cgi?T=JS&amp;NEWS=n&amp;CSC=Y&amp;PAGE=booktext&amp;D=books&amp;AN=01436896$&amp;XPATH=/PG(0)&amp;EPUB=Y")</f>
        <v>http://ovidsp.ovid.com/ovidweb.cgi?T=JS&amp;NEWS=n&amp;CSC=Y&amp;PAGE=booktext&amp;D=books&amp;AN=01436896$&amp;XPATH=/PG(0)&amp;EPUB=Y</v>
      </c>
      <c r="G74" t="s">
        <v>2139</v>
      </c>
      <c r="H74" t="s">
        <v>2974</v>
      </c>
      <c r="I74">
        <v>1206726</v>
      </c>
      <c r="J74" t="s">
        <v>3263</v>
      </c>
      <c r="K74" t="s">
        <v>1405</v>
      </c>
    </row>
    <row r="75" spans="1:11" x14ac:dyDescent="0.3">
      <c r="A75" t="s">
        <v>2814</v>
      </c>
      <c r="B75" t="s">
        <v>1018</v>
      </c>
      <c r="C75" t="s">
        <v>1529</v>
      </c>
      <c r="D75" t="s">
        <v>4111</v>
      </c>
      <c r="E75" t="s">
        <v>404</v>
      </c>
      <c r="F75" s="1" t="str">
        <f>HYPERLINK("http://ovidsp.ovid.com/ovidweb.cgi?T=JS&amp;NEWS=n&amp;CSC=Y&amp;PAGE=booktext&amp;D=books&amp;AN=01382425$&amp;XPATH=/PG(0)&amp;EPUB=Y","http://ovidsp.ovid.com/ovidweb.cgi?T=JS&amp;NEWS=n&amp;CSC=Y&amp;PAGE=booktext&amp;D=books&amp;AN=01382425$&amp;XPATH=/PG(0)&amp;EPUB=Y")</f>
        <v>http://ovidsp.ovid.com/ovidweb.cgi?T=JS&amp;NEWS=n&amp;CSC=Y&amp;PAGE=booktext&amp;D=books&amp;AN=01382425$&amp;XPATH=/PG(0)&amp;EPUB=Y</v>
      </c>
      <c r="G75" t="s">
        <v>2139</v>
      </c>
      <c r="H75" t="s">
        <v>2974</v>
      </c>
      <c r="I75">
        <v>1206726</v>
      </c>
      <c r="J75" t="s">
        <v>3263</v>
      </c>
      <c r="K75" t="s">
        <v>3006</v>
      </c>
    </row>
    <row r="76" spans="1:11" x14ac:dyDescent="0.3">
      <c r="A76" t="s">
        <v>4674</v>
      </c>
      <c r="B76" t="s">
        <v>4019</v>
      </c>
      <c r="C76" t="s">
        <v>1513</v>
      </c>
      <c r="D76" t="s">
        <v>4111</v>
      </c>
      <c r="E76" t="s">
        <v>2223</v>
      </c>
      <c r="F76" s="1" t="str">
        <f>HYPERLINK("http://ovidsp.ovid.com/ovidweb.cgi?T=JS&amp;NEWS=n&amp;CSC=Y&amp;PAGE=booktext&amp;D=books&amp;AN=01382426$&amp;XPATH=/PG(0)&amp;EPUB=Y","http://ovidsp.ovid.com/ovidweb.cgi?T=JS&amp;NEWS=n&amp;CSC=Y&amp;PAGE=booktext&amp;D=books&amp;AN=01382426$&amp;XPATH=/PG(0)&amp;EPUB=Y")</f>
        <v>http://ovidsp.ovid.com/ovidweb.cgi?T=JS&amp;NEWS=n&amp;CSC=Y&amp;PAGE=booktext&amp;D=books&amp;AN=01382426$&amp;XPATH=/PG(0)&amp;EPUB=Y</v>
      </c>
      <c r="G76" t="s">
        <v>2139</v>
      </c>
      <c r="H76" t="s">
        <v>2974</v>
      </c>
      <c r="I76">
        <v>1206726</v>
      </c>
      <c r="J76" t="s">
        <v>3263</v>
      </c>
      <c r="K76" t="s">
        <v>1876</v>
      </c>
    </row>
    <row r="77" spans="1:11" x14ac:dyDescent="0.3">
      <c r="A77" t="s">
        <v>782</v>
      </c>
      <c r="B77" t="s">
        <v>1842</v>
      </c>
      <c r="C77" t="s">
        <v>995</v>
      </c>
      <c r="D77" t="s">
        <v>4111</v>
      </c>
      <c r="E77" t="s">
        <v>404</v>
      </c>
      <c r="F77" s="1" t="str">
        <f>HYPERLINK("http://ovidsp.ovid.com/ovidweb.cgi?T=JS&amp;NEWS=n&amp;CSC=Y&amp;PAGE=booktext&amp;D=books&amp;AN=01279726$&amp;XPATH=/PG(0)&amp;EPUB=Y","http://ovidsp.ovid.com/ovidweb.cgi?T=JS&amp;NEWS=n&amp;CSC=Y&amp;PAGE=booktext&amp;D=books&amp;AN=01279726$&amp;XPATH=/PG(0)&amp;EPUB=Y")</f>
        <v>http://ovidsp.ovid.com/ovidweb.cgi?T=JS&amp;NEWS=n&amp;CSC=Y&amp;PAGE=booktext&amp;D=books&amp;AN=01279726$&amp;XPATH=/PG(0)&amp;EPUB=Y</v>
      </c>
      <c r="G77" t="s">
        <v>2139</v>
      </c>
      <c r="H77" t="s">
        <v>2974</v>
      </c>
      <c r="I77">
        <v>1206726</v>
      </c>
      <c r="J77" t="s">
        <v>3263</v>
      </c>
      <c r="K77" t="s">
        <v>3722</v>
      </c>
    </row>
    <row r="78" spans="1:11" x14ac:dyDescent="0.3">
      <c r="A78" t="s">
        <v>3827</v>
      </c>
      <c r="B78" t="s">
        <v>308</v>
      </c>
      <c r="C78" t="s">
        <v>3382</v>
      </c>
      <c r="D78" t="s">
        <v>4111</v>
      </c>
      <c r="E78" t="s">
        <v>2223</v>
      </c>
      <c r="F78" s="1" t="str">
        <f>HYPERLINK("http://ovidsp.ovid.com/ovidweb.cgi?T=JS&amp;NEWS=n&amp;CSC=Y&amp;PAGE=booktext&amp;D=books&amp;AN=01382431$&amp;XPATH=/PG(0)&amp;EPUB=Y","http://ovidsp.ovid.com/ovidweb.cgi?T=JS&amp;NEWS=n&amp;CSC=Y&amp;PAGE=booktext&amp;D=books&amp;AN=01382431$&amp;XPATH=/PG(0)&amp;EPUB=Y")</f>
        <v>http://ovidsp.ovid.com/ovidweb.cgi?T=JS&amp;NEWS=n&amp;CSC=Y&amp;PAGE=booktext&amp;D=books&amp;AN=01382431$&amp;XPATH=/PG(0)&amp;EPUB=Y</v>
      </c>
      <c r="G78" t="s">
        <v>2139</v>
      </c>
      <c r="H78" t="s">
        <v>2974</v>
      </c>
      <c r="I78">
        <v>1206726</v>
      </c>
      <c r="J78" t="s">
        <v>3263</v>
      </c>
      <c r="K78" t="s">
        <v>822</v>
      </c>
    </row>
    <row r="79" spans="1:11" x14ac:dyDescent="0.3">
      <c r="A79" t="s">
        <v>2392</v>
      </c>
      <c r="B79" t="s">
        <v>2604</v>
      </c>
      <c r="C79" t="s">
        <v>2167</v>
      </c>
      <c r="D79" t="s">
        <v>4111</v>
      </c>
      <c r="E79" t="s">
        <v>404</v>
      </c>
      <c r="F79" s="1" t="str">
        <f>HYPERLINK("http://ovidsp.ovid.com/ovidweb.cgi?T=JS&amp;NEWS=n&amp;CSC=Y&amp;PAGE=booktext&amp;D=books&amp;AN=01438844$&amp;XPATH=/PG(0)&amp;EPUB=Y","http://ovidsp.ovid.com/ovidweb.cgi?T=JS&amp;NEWS=n&amp;CSC=Y&amp;PAGE=booktext&amp;D=books&amp;AN=01438844$&amp;XPATH=/PG(0)&amp;EPUB=Y")</f>
        <v>http://ovidsp.ovid.com/ovidweb.cgi?T=JS&amp;NEWS=n&amp;CSC=Y&amp;PAGE=booktext&amp;D=books&amp;AN=01438844$&amp;XPATH=/PG(0)&amp;EPUB=Y</v>
      </c>
      <c r="G79" t="s">
        <v>2139</v>
      </c>
      <c r="H79" t="s">
        <v>2974</v>
      </c>
      <c r="I79">
        <v>1206726</v>
      </c>
      <c r="J79" t="s">
        <v>3263</v>
      </c>
      <c r="K79" t="s">
        <v>1541</v>
      </c>
    </row>
    <row r="80" spans="1:11" x14ac:dyDescent="0.3">
      <c r="A80" t="s">
        <v>338</v>
      </c>
      <c r="B80" t="s">
        <v>4533</v>
      </c>
      <c r="C80" t="s">
        <v>3797</v>
      </c>
      <c r="D80" t="s">
        <v>4111</v>
      </c>
      <c r="E80" t="s">
        <v>2223</v>
      </c>
      <c r="F80" s="1" t="str">
        <f>HYPERLINK("http://ovidsp.ovid.com/ovidweb.cgi?T=JS&amp;NEWS=n&amp;CSC=Y&amp;PAGE=booktext&amp;D=books&amp;AN=01382432$&amp;XPATH=/PG(0)&amp;EPUB=Y","http://ovidsp.ovid.com/ovidweb.cgi?T=JS&amp;NEWS=n&amp;CSC=Y&amp;PAGE=booktext&amp;D=books&amp;AN=01382432$&amp;XPATH=/PG(0)&amp;EPUB=Y")</f>
        <v>http://ovidsp.ovid.com/ovidweb.cgi?T=JS&amp;NEWS=n&amp;CSC=Y&amp;PAGE=booktext&amp;D=books&amp;AN=01382432$&amp;XPATH=/PG(0)&amp;EPUB=Y</v>
      </c>
      <c r="G80" t="s">
        <v>2139</v>
      </c>
      <c r="H80" t="s">
        <v>2974</v>
      </c>
      <c r="I80">
        <v>1206726</v>
      </c>
      <c r="J80" t="s">
        <v>3263</v>
      </c>
      <c r="K80" t="s">
        <v>1211</v>
      </c>
    </row>
    <row r="81" spans="1:11" x14ac:dyDescent="0.3">
      <c r="A81" t="s">
        <v>1262</v>
      </c>
      <c r="B81" t="s">
        <v>1465</v>
      </c>
      <c r="C81" t="s">
        <v>1277</v>
      </c>
      <c r="D81" t="s">
        <v>4111</v>
      </c>
      <c r="E81" t="s">
        <v>2223</v>
      </c>
      <c r="F81" s="1" t="str">
        <f>HYPERLINK("http://ovidsp.ovid.com/ovidweb.cgi?T=JS&amp;NEWS=n&amp;CSC=Y&amp;PAGE=booktext&amp;D=books&amp;AN=01382476$&amp;XPATH=/PG(0)&amp;EPUB=Y","http://ovidsp.ovid.com/ovidweb.cgi?T=JS&amp;NEWS=n&amp;CSC=Y&amp;PAGE=booktext&amp;D=books&amp;AN=01382476$&amp;XPATH=/PG(0)&amp;EPUB=Y")</f>
        <v>http://ovidsp.ovid.com/ovidweb.cgi?T=JS&amp;NEWS=n&amp;CSC=Y&amp;PAGE=booktext&amp;D=books&amp;AN=01382476$&amp;XPATH=/PG(0)&amp;EPUB=Y</v>
      </c>
      <c r="G81" t="s">
        <v>2139</v>
      </c>
      <c r="H81" t="s">
        <v>2974</v>
      </c>
      <c r="I81">
        <v>1206726</v>
      </c>
      <c r="J81" t="s">
        <v>3263</v>
      </c>
      <c r="K81" t="s">
        <v>3621</v>
      </c>
    </row>
    <row r="82" spans="1:11" x14ac:dyDescent="0.3">
      <c r="A82" t="s">
        <v>1811</v>
      </c>
      <c r="B82" t="s">
        <v>2428</v>
      </c>
      <c r="C82" t="s">
        <v>4205</v>
      </c>
      <c r="D82" t="s">
        <v>4111</v>
      </c>
      <c r="E82" t="s">
        <v>2223</v>
      </c>
      <c r="F82" s="1" t="str">
        <f>HYPERLINK("http://ovidsp.ovid.com/ovidweb.cgi?T=JS&amp;NEWS=n&amp;CSC=Y&amp;PAGE=booktext&amp;D=books&amp;AN=01382435$&amp;XPATH=/PG(0)&amp;EPUB=Y","http://ovidsp.ovid.com/ovidweb.cgi?T=JS&amp;NEWS=n&amp;CSC=Y&amp;PAGE=booktext&amp;D=books&amp;AN=01382435$&amp;XPATH=/PG(0)&amp;EPUB=Y")</f>
        <v>http://ovidsp.ovid.com/ovidweb.cgi?T=JS&amp;NEWS=n&amp;CSC=Y&amp;PAGE=booktext&amp;D=books&amp;AN=01382435$&amp;XPATH=/PG(0)&amp;EPUB=Y</v>
      </c>
      <c r="G82" t="s">
        <v>2139</v>
      </c>
      <c r="H82" t="s">
        <v>2974</v>
      </c>
      <c r="I82">
        <v>1206726</v>
      </c>
      <c r="J82" t="s">
        <v>3263</v>
      </c>
      <c r="K82" t="s">
        <v>2487</v>
      </c>
    </row>
    <row r="83" spans="1:11" x14ac:dyDescent="0.3">
      <c r="A83" t="s">
        <v>778</v>
      </c>
      <c r="B83" t="s">
        <v>2754</v>
      </c>
      <c r="C83" t="s">
        <v>2598</v>
      </c>
      <c r="D83" t="s">
        <v>4111</v>
      </c>
      <c r="E83" t="s">
        <v>1104</v>
      </c>
      <c r="F83" s="1" t="str">
        <f>HYPERLINK("http://ovidsp.ovid.com/ovidweb.cgi?T=JS&amp;NEWS=n&amp;CSC=Y&amp;PAGE=booktext&amp;D=books&amp;AN=01256993$&amp;XPATH=/PG(0)&amp;EPUB=Y","http://ovidsp.ovid.com/ovidweb.cgi?T=JS&amp;NEWS=n&amp;CSC=Y&amp;PAGE=booktext&amp;D=books&amp;AN=01256993$&amp;XPATH=/PG(0)&amp;EPUB=Y")</f>
        <v>http://ovidsp.ovid.com/ovidweb.cgi?T=JS&amp;NEWS=n&amp;CSC=Y&amp;PAGE=booktext&amp;D=books&amp;AN=01256993$&amp;XPATH=/PG(0)&amp;EPUB=Y</v>
      </c>
      <c r="G83" t="s">
        <v>2139</v>
      </c>
      <c r="H83" t="s">
        <v>2974</v>
      </c>
      <c r="I83">
        <v>1206726</v>
      </c>
      <c r="J83" t="s">
        <v>3263</v>
      </c>
      <c r="K83" t="s">
        <v>1530</v>
      </c>
    </row>
    <row r="84" spans="1:11" x14ac:dyDescent="0.3">
      <c r="A84" t="s">
        <v>2730</v>
      </c>
      <c r="B84" t="s">
        <v>1997</v>
      </c>
      <c r="C84" t="s">
        <v>696</v>
      </c>
      <c r="D84" t="s">
        <v>4111</v>
      </c>
      <c r="E84" t="s">
        <v>2223</v>
      </c>
      <c r="F84" s="1" t="str">
        <f>HYPERLINK("http://ovidsp.ovid.com/ovidweb.cgi?T=JS&amp;NEWS=n&amp;CSC=Y&amp;PAGE=booktext&amp;D=books&amp;AN=01382436$&amp;XPATH=/PG(0)&amp;EPUB=Y","http://ovidsp.ovid.com/ovidweb.cgi?T=JS&amp;NEWS=n&amp;CSC=Y&amp;PAGE=booktext&amp;D=books&amp;AN=01382436$&amp;XPATH=/PG(0)&amp;EPUB=Y")</f>
        <v>http://ovidsp.ovid.com/ovidweb.cgi?T=JS&amp;NEWS=n&amp;CSC=Y&amp;PAGE=booktext&amp;D=books&amp;AN=01382436$&amp;XPATH=/PG(0)&amp;EPUB=Y</v>
      </c>
      <c r="G84" t="s">
        <v>2139</v>
      </c>
      <c r="H84" t="s">
        <v>2974</v>
      </c>
      <c r="I84">
        <v>1206726</v>
      </c>
      <c r="J84" t="s">
        <v>3263</v>
      </c>
      <c r="K84" t="s">
        <v>1319</v>
      </c>
    </row>
    <row r="85" spans="1:11" x14ac:dyDescent="0.3">
      <c r="A85" t="s">
        <v>1879</v>
      </c>
      <c r="B85" t="s">
        <v>201</v>
      </c>
      <c r="C85" t="s">
        <v>1993</v>
      </c>
      <c r="D85" t="s">
        <v>4111</v>
      </c>
      <c r="E85" t="s">
        <v>1104</v>
      </c>
      <c r="F85" s="1" t="str">
        <f>HYPERLINK("http://ovidsp.ovid.com/ovidweb.cgi?T=JS&amp;NEWS=n&amp;CSC=Y&amp;PAGE=booktext&amp;D=books&amp;AN=01382437$&amp;XPATH=/PG(0)&amp;EPUB=Y","http://ovidsp.ovid.com/ovidweb.cgi?T=JS&amp;NEWS=n&amp;CSC=Y&amp;PAGE=booktext&amp;D=books&amp;AN=01382437$&amp;XPATH=/PG(0)&amp;EPUB=Y")</f>
        <v>http://ovidsp.ovid.com/ovidweb.cgi?T=JS&amp;NEWS=n&amp;CSC=Y&amp;PAGE=booktext&amp;D=books&amp;AN=01382437$&amp;XPATH=/PG(0)&amp;EPUB=Y</v>
      </c>
      <c r="G85" t="s">
        <v>2139</v>
      </c>
      <c r="H85" t="s">
        <v>2974</v>
      </c>
      <c r="I85">
        <v>1206726</v>
      </c>
      <c r="J85" t="s">
        <v>3263</v>
      </c>
      <c r="K85" t="s">
        <v>2140</v>
      </c>
    </row>
    <row r="86" spans="1:11" x14ac:dyDescent="0.3">
      <c r="A86" t="s">
        <v>2988</v>
      </c>
      <c r="B86" t="s">
        <v>2292</v>
      </c>
      <c r="C86" t="s">
        <v>3687</v>
      </c>
      <c r="D86" t="s">
        <v>4111</v>
      </c>
      <c r="E86" t="s">
        <v>2223</v>
      </c>
      <c r="F86" s="1" t="str">
        <f>HYPERLINK("http://ovidsp.ovid.com/ovidweb.cgi?T=JS&amp;NEWS=n&amp;CSC=Y&amp;PAGE=booktext&amp;D=books&amp;AN=01382438$&amp;XPATH=/PG(0)&amp;EPUB=Y","http://ovidsp.ovid.com/ovidweb.cgi?T=JS&amp;NEWS=n&amp;CSC=Y&amp;PAGE=booktext&amp;D=books&amp;AN=01382438$&amp;XPATH=/PG(0)&amp;EPUB=Y")</f>
        <v>http://ovidsp.ovid.com/ovidweb.cgi?T=JS&amp;NEWS=n&amp;CSC=Y&amp;PAGE=booktext&amp;D=books&amp;AN=01382438$&amp;XPATH=/PG(0)&amp;EPUB=Y</v>
      </c>
      <c r="G86" t="s">
        <v>2139</v>
      </c>
      <c r="H86" t="s">
        <v>2974</v>
      </c>
      <c r="I86">
        <v>1206726</v>
      </c>
      <c r="J86" t="s">
        <v>3263</v>
      </c>
      <c r="K86" t="s">
        <v>725</v>
      </c>
    </row>
    <row r="87" spans="1:11" x14ac:dyDescent="0.3">
      <c r="A87" t="s">
        <v>4021</v>
      </c>
      <c r="B87" t="s">
        <v>1021</v>
      </c>
      <c r="C87" t="s">
        <v>2838</v>
      </c>
      <c r="D87" t="s">
        <v>4111</v>
      </c>
      <c r="E87" t="s">
        <v>2223</v>
      </c>
      <c r="F87" s="1" t="str">
        <f>HYPERLINK("http://ovidsp.ovid.com/ovidweb.cgi?T=JS&amp;NEWS=n&amp;CSC=Y&amp;PAGE=booktext&amp;D=books&amp;AN=01434775$&amp;XPATH=/PG(0)&amp;EPUB=Y","http://ovidsp.ovid.com/ovidweb.cgi?T=JS&amp;NEWS=n&amp;CSC=Y&amp;PAGE=booktext&amp;D=books&amp;AN=01434775$&amp;XPATH=/PG(0)&amp;EPUB=Y")</f>
        <v>http://ovidsp.ovid.com/ovidweb.cgi?T=JS&amp;NEWS=n&amp;CSC=Y&amp;PAGE=booktext&amp;D=books&amp;AN=01434775$&amp;XPATH=/PG(0)&amp;EPUB=Y</v>
      </c>
      <c r="G87" t="s">
        <v>2139</v>
      </c>
      <c r="H87" t="s">
        <v>2974</v>
      </c>
      <c r="I87">
        <v>1206726</v>
      </c>
      <c r="J87" t="s">
        <v>3263</v>
      </c>
      <c r="K87" t="s">
        <v>887</v>
      </c>
    </row>
    <row r="88" spans="1:11" x14ac:dyDescent="0.3">
      <c r="A88" t="s">
        <v>3987</v>
      </c>
      <c r="B88" t="s">
        <v>4690</v>
      </c>
      <c r="C88" t="s">
        <v>3599</v>
      </c>
      <c r="D88" t="s">
        <v>4111</v>
      </c>
      <c r="E88" t="s">
        <v>2223</v>
      </c>
      <c r="F88" s="1" t="str">
        <f>HYPERLINK("http://ovidsp.ovid.com/ovidweb.cgi?T=JS&amp;NEWS=n&amp;CSC=Y&amp;PAGE=booktext&amp;D=books&amp;AN=01745942$&amp;XPATH=/PG(0)&amp;EPUB=Y","http://ovidsp.ovid.com/ovidweb.cgi?T=JS&amp;NEWS=n&amp;CSC=Y&amp;PAGE=booktext&amp;D=books&amp;AN=01745942$&amp;XPATH=/PG(0)&amp;EPUB=Y")</f>
        <v>http://ovidsp.ovid.com/ovidweb.cgi?T=JS&amp;NEWS=n&amp;CSC=Y&amp;PAGE=booktext&amp;D=books&amp;AN=01745942$&amp;XPATH=/PG(0)&amp;EPUB=Y</v>
      </c>
      <c r="G88" t="s">
        <v>2139</v>
      </c>
      <c r="H88" t="s">
        <v>2974</v>
      </c>
      <c r="I88">
        <v>1206726</v>
      </c>
      <c r="J88" t="s">
        <v>3263</v>
      </c>
      <c r="K88" t="s">
        <v>1814</v>
      </c>
    </row>
    <row r="89" spans="1:11" x14ac:dyDescent="0.3">
      <c r="A89" t="s">
        <v>3134</v>
      </c>
      <c r="B89" t="s">
        <v>2647</v>
      </c>
      <c r="C89" t="s">
        <v>681</v>
      </c>
      <c r="D89" t="s">
        <v>4111</v>
      </c>
      <c r="E89" t="s">
        <v>2223</v>
      </c>
      <c r="F89" s="1" t="str">
        <f>HYPERLINK("http://ovidsp.ovid.com/ovidweb.cgi?T=JS&amp;NEWS=n&amp;CSC=Y&amp;PAGE=booktext&amp;D=books&amp;AN=01382440$&amp;XPATH=/PG(0)&amp;EPUB=Y","http://ovidsp.ovid.com/ovidweb.cgi?T=JS&amp;NEWS=n&amp;CSC=Y&amp;PAGE=booktext&amp;D=books&amp;AN=01382440$&amp;XPATH=/PG(0)&amp;EPUB=Y")</f>
        <v>http://ovidsp.ovid.com/ovidweb.cgi?T=JS&amp;NEWS=n&amp;CSC=Y&amp;PAGE=booktext&amp;D=books&amp;AN=01382440$&amp;XPATH=/PG(0)&amp;EPUB=Y</v>
      </c>
      <c r="G89" t="s">
        <v>2139</v>
      </c>
      <c r="H89" t="s">
        <v>2974</v>
      </c>
      <c r="I89">
        <v>1206726</v>
      </c>
      <c r="J89" t="s">
        <v>3263</v>
      </c>
      <c r="K89" t="s">
        <v>1926</v>
      </c>
    </row>
    <row r="90" spans="1:11" x14ac:dyDescent="0.3">
      <c r="A90" t="s">
        <v>3560</v>
      </c>
      <c r="B90" t="s">
        <v>1030</v>
      </c>
      <c r="C90" t="s">
        <v>3105</v>
      </c>
      <c r="D90" t="s">
        <v>4111</v>
      </c>
      <c r="E90" t="s">
        <v>1104</v>
      </c>
      <c r="F90" s="1" t="str">
        <f>HYPERLINK("http://ovidsp.ovid.com/ovidweb.cgi?T=JS&amp;NEWS=n&amp;CSC=Y&amp;PAGE=booktext&amp;D=books&amp;AN=01429591$&amp;XPATH=/PG(0)&amp;EPUB=Y","http://ovidsp.ovid.com/ovidweb.cgi?T=JS&amp;NEWS=n&amp;CSC=Y&amp;PAGE=booktext&amp;D=books&amp;AN=01429591$&amp;XPATH=/PG(0)&amp;EPUB=Y")</f>
        <v>http://ovidsp.ovid.com/ovidweb.cgi?T=JS&amp;NEWS=n&amp;CSC=Y&amp;PAGE=booktext&amp;D=books&amp;AN=01429591$&amp;XPATH=/PG(0)&amp;EPUB=Y</v>
      </c>
      <c r="G90" t="s">
        <v>2139</v>
      </c>
      <c r="H90" t="s">
        <v>2974</v>
      </c>
      <c r="I90">
        <v>1206726</v>
      </c>
      <c r="J90" t="s">
        <v>3263</v>
      </c>
      <c r="K90" t="s">
        <v>2830</v>
      </c>
    </row>
    <row r="91" spans="1:11" x14ac:dyDescent="0.3">
      <c r="A91" t="s">
        <v>3939</v>
      </c>
      <c r="B91" t="s">
        <v>604</v>
      </c>
      <c r="C91" t="s">
        <v>724</v>
      </c>
      <c r="D91" t="s">
        <v>4111</v>
      </c>
      <c r="E91" t="s">
        <v>404</v>
      </c>
      <c r="F91" s="1" t="str">
        <f>HYPERLINK("http://ovidsp.ovid.com/ovidweb.cgi?T=JS&amp;NEWS=n&amp;CSC=Y&amp;PAGE=booktext&amp;D=books&amp;AN=01435752$&amp;XPATH=/PG(0)&amp;EPUB=Y","http://ovidsp.ovid.com/ovidweb.cgi?T=JS&amp;NEWS=n&amp;CSC=Y&amp;PAGE=booktext&amp;D=books&amp;AN=01435752$&amp;XPATH=/PG(0)&amp;EPUB=Y")</f>
        <v>http://ovidsp.ovid.com/ovidweb.cgi?T=JS&amp;NEWS=n&amp;CSC=Y&amp;PAGE=booktext&amp;D=books&amp;AN=01435752$&amp;XPATH=/PG(0)&amp;EPUB=Y</v>
      </c>
      <c r="G91" t="s">
        <v>2139</v>
      </c>
      <c r="H91" t="s">
        <v>2974</v>
      </c>
      <c r="I91">
        <v>1206726</v>
      </c>
      <c r="J91" t="s">
        <v>3263</v>
      </c>
      <c r="K91" t="s">
        <v>1684</v>
      </c>
    </row>
    <row r="92" spans="1:11" x14ac:dyDescent="0.3">
      <c r="A92" t="s">
        <v>1660</v>
      </c>
      <c r="B92" t="s">
        <v>3709</v>
      </c>
      <c r="C92" t="s">
        <v>2737</v>
      </c>
      <c r="D92" t="s">
        <v>4111</v>
      </c>
      <c r="E92" t="s">
        <v>2223</v>
      </c>
      <c r="F92" s="1" t="str">
        <f>HYPERLINK("http://ovidsp.ovid.com/ovidweb.cgi?T=JS&amp;NEWS=n&amp;CSC=Y&amp;PAGE=booktext&amp;D=books&amp;AN=01222975$&amp;XPATH=/PG(0)&amp;EPUB=Y","http://ovidsp.ovid.com/ovidweb.cgi?T=JS&amp;NEWS=n&amp;CSC=Y&amp;PAGE=booktext&amp;D=books&amp;AN=01222975$&amp;XPATH=/PG(0)&amp;EPUB=Y")</f>
        <v>http://ovidsp.ovid.com/ovidweb.cgi?T=JS&amp;NEWS=n&amp;CSC=Y&amp;PAGE=booktext&amp;D=books&amp;AN=01222975$&amp;XPATH=/PG(0)&amp;EPUB=Y</v>
      </c>
      <c r="G92" t="s">
        <v>2139</v>
      </c>
      <c r="H92" t="s">
        <v>2974</v>
      </c>
      <c r="I92">
        <v>1206726</v>
      </c>
      <c r="J92" t="s">
        <v>3263</v>
      </c>
      <c r="K92" t="s">
        <v>225</v>
      </c>
    </row>
    <row r="93" spans="1:11" x14ac:dyDescent="0.3">
      <c r="A93" t="s">
        <v>947</v>
      </c>
      <c r="B93" t="s">
        <v>2437</v>
      </c>
      <c r="C93" t="s">
        <v>2313</v>
      </c>
      <c r="D93" t="s">
        <v>4111</v>
      </c>
      <c r="E93" t="s">
        <v>2876</v>
      </c>
      <c r="F93" s="1" t="str">
        <f>HYPERLINK("http://ovidsp.ovid.com/ovidweb.cgi?T=JS&amp;NEWS=n&amp;CSC=Y&amp;PAGE=booktext&amp;D=books&amp;AN=01641744$&amp;XPATH=/PG(0)&amp;EPUB=Y","http://ovidsp.ovid.com/ovidweb.cgi?T=JS&amp;NEWS=n&amp;CSC=Y&amp;PAGE=booktext&amp;D=books&amp;AN=01641744$&amp;XPATH=/PG(0)&amp;EPUB=Y")</f>
        <v>http://ovidsp.ovid.com/ovidweb.cgi?T=JS&amp;NEWS=n&amp;CSC=Y&amp;PAGE=booktext&amp;D=books&amp;AN=01641744$&amp;XPATH=/PG(0)&amp;EPUB=Y</v>
      </c>
      <c r="G93" t="s">
        <v>2139</v>
      </c>
      <c r="H93" t="s">
        <v>2974</v>
      </c>
      <c r="I93">
        <v>1206726</v>
      </c>
      <c r="J93" t="s">
        <v>3263</v>
      </c>
      <c r="K93" t="s">
        <v>4160</v>
      </c>
    </row>
    <row r="94" spans="1:11" x14ac:dyDescent="0.3">
      <c r="A94" t="s">
        <v>947</v>
      </c>
      <c r="B94" t="s">
        <v>3298</v>
      </c>
      <c r="C94" t="s">
        <v>546</v>
      </c>
      <c r="D94" t="s">
        <v>4111</v>
      </c>
      <c r="E94" t="s">
        <v>3051</v>
      </c>
      <c r="F94" s="1" t="str">
        <f>HYPERLINK("http://ovidsp.ovid.com/ovidweb.cgi?T=JS&amp;NEWS=n&amp;CSC=Y&amp;PAGE=booktext&amp;D=books&amp;AN=01279698$&amp;XPATH=/PG(0)&amp;EPUB=Y","http://ovidsp.ovid.com/ovidweb.cgi?T=JS&amp;NEWS=n&amp;CSC=Y&amp;PAGE=booktext&amp;D=books&amp;AN=01279698$&amp;XPATH=/PG(0)&amp;EPUB=Y")</f>
        <v>http://ovidsp.ovid.com/ovidweb.cgi?T=JS&amp;NEWS=n&amp;CSC=Y&amp;PAGE=booktext&amp;D=books&amp;AN=01279698$&amp;XPATH=/PG(0)&amp;EPUB=Y</v>
      </c>
      <c r="G94" t="s">
        <v>2139</v>
      </c>
      <c r="H94" t="s">
        <v>2974</v>
      </c>
      <c r="I94">
        <v>1206726</v>
      </c>
      <c r="J94" t="s">
        <v>3263</v>
      </c>
      <c r="K94" t="s">
        <v>3239</v>
      </c>
    </row>
    <row r="95" spans="1:11" x14ac:dyDescent="0.3">
      <c r="A95" t="s">
        <v>3971</v>
      </c>
      <c r="B95" t="s">
        <v>654</v>
      </c>
      <c r="C95" t="s">
        <v>3203</v>
      </c>
      <c r="D95" t="s">
        <v>4111</v>
      </c>
      <c r="E95" t="s">
        <v>404</v>
      </c>
      <c r="F95" s="1" t="str">
        <f>HYPERLINK("http://ovidsp.ovid.com/ovidweb.cgi?T=JS&amp;NEWS=n&amp;CSC=Y&amp;PAGE=booktext&amp;D=books&amp;AN=01256990$&amp;XPATH=/PG(0)&amp;EPUB=Y","http://ovidsp.ovid.com/ovidweb.cgi?T=JS&amp;NEWS=n&amp;CSC=Y&amp;PAGE=booktext&amp;D=books&amp;AN=01256990$&amp;XPATH=/PG(0)&amp;EPUB=Y")</f>
        <v>http://ovidsp.ovid.com/ovidweb.cgi?T=JS&amp;NEWS=n&amp;CSC=Y&amp;PAGE=booktext&amp;D=books&amp;AN=01256990$&amp;XPATH=/PG(0)&amp;EPUB=Y</v>
      </c>
      <c r="G95" t="s">
        <v>2139</v>
      </c>
      <c r="H95" t="s">
        <v>2974</v>
      </c>
      <c r="I95">
        <v>1206726</v>
      </c>
      <c r="J95" t="s">
        <v>3263</v>
      </c>
      <c r="K95" t="s">
        <v>3316</v>
      </c>
    </row>
    <row r="96" spans="1:11" x14ac:dyDescent="0.3">
      <c r="A96" t="s">
        <v>2086</v>
      </c>
      <c r="B96" t="s">
        <v>3904</v>
      </c>
      <c r="C96" t="s">
        <v>859</v>
      </c>
      <c r="D96" t="s">
        <v>4111</v>
      </c>
      <c r="E96" t="s">
        <v>2223</v>
      </c>
      <c r="F96" s="1" t="str">
        <f>HYPERLINK("http://ovidsp.ovid.com/ovidweb.cgi?T=JS&amp;NEWS=n&amp;CSC=Y&amp;PAGE=booktext&amp;D=books&amp;AN=01279729$&amp;XPATH=/PG(0)&amp;EPUB=Y","http://ovidsp.ovid.com/ovidweb.cgi?T=JS&amp;NEWS=n&amp;CSC=Y&amp;PAGE=booktext&amp;D=books&amp;AN=01279729$&amp;XPATH=/PG(0)&amp;EPUB=Y")</f>
        <v>http://ovidsp.ovid.com/ovidweb.cgi?T=JS&amp;NEWS=n&amp;CSC=Y&amp;PAGE=booktext&amp;D=books&amp;AN=01279729$&amp;XPATH=/PG(0)&amp;EPUB=Y</v>
      </c>
      <c r="G96" t="s">
        <v>2139</v>
      </c>
      <c r="H96" t="s">
        <v>2974</v>
      </c>
      <c r="I96">
        <v>1206726</v>
      </c>
      <c r="J96" t="s">
        <v>3263</v>
      </c>
      <c r="K96" t="s">
        <v>3616</v>
      </c>
    </row>
    <row r="97" spans="1:11" x14ac:dyDescent="0.3">
      <c r="A97" t="s">
        <v>1760</v>
      </c>
      <c r="B97" t="s">
        <v>1333</v>
      </c>
      <c r="C97" t="s">
        <v>2054</v>
      </c>
      <c r="D97" t="s">
        <v>4111</v>
      </c>
      <c r="E97" t="s">
        <v>2223</v>
      </c>
      <c r="F97" s="1" t="str">
        <f>HYPERLINK("http://ovidsp.ovid.com/ovidweb.cgi?T=JS&amp;NEWS=n&amp;CSC=Y&amp;PAGE=booktext&amp;D=books&amp;AN=01382439$&amp;XPATH=/PG(0)&amp;EPUB=Y","http://ovidsp.ovid.com/ovidweb.cgi?T=JS&amp;NEWS=n&amp;CSC=Y&amp;PAGE=booktext&amp;D=books&amp;AN=01382439$&amp;XPATH=/PG(0)&amp;EPUB=Y")</f>
        <v>http://ovidsp.ovid.com/ovidweb.cgi?T=JS&amp;NEWS=n&amp;CSC=Y&amp;PAGE=booktext&amp;D=books&amp;AN=01382439$&amp;XPATH=/PG(0)&amp;EPUB=Y</v>
      </c>
      <c r="G97" t="s">
        <v>2139</v>
      </c>
      <c r="H97" t="s">
        <v>2974</v>
      </c>
      <c r="I97">
        <v>1206726</v>
      </c>
      <c r="J97" t="s">
        <v>3263</v>
      </c>
      <c r="K97" t="s">
        <v>786</v>
      </c>
    </row>
    <row r="98" spans="1:11" x14ac:dyDescent="0.3">
      <c r="A98" t="s">
        <v>1760</v>
      </c>
      <c r="B98" t="s">
        <v>774</v>
      </c>
      <c r="C98" t="s">
        <v>1807</v>
      </c>
      <c r="D98" t="s">
        <v>4111</v>
      </c>
      <c r="E98" t="s">
        <v>404</v>
      </c>
      <c r="F98" s="1" t="str">
        <f>HYPERLINK("http://ovidsp.ovid.com/ovidweb.cgi?T=JS&amp;NEWS=n&amp;CSC=Y&amp;PAGE=booktext&amp;D=books&amp;AN=01438846$&amp;XPATH=/PG(0)&amp;EPUB=Y","http://ovidsp.ovid.com/ovidweb.cgi?T=JS&amp;NEWS=n&amp;CSC=Y&amp;PAGE=booktext&amp;D=books&amp;AN=01438846$&amp;XPATH=/PG(0)&amp;EPUB=Y")</f>
        <v>http://ovidsp.ovid.com/ovidweb.cgi?T=JS&amp;NEWS=n&amp;CSC=Y&amp;PAGE=booktext&amp;D=books&amp;AN=01438846$&amp;XPATH=/PG(0)&amp;EPUB=Y</v>
      </c>
      <c r="G98" t="s">
        <v>2139</v>
      </c>
      <c r="H98" t="s">
        <v>2974</v>
      </c>
      <c r="I98">
        <v>1206726</v>
      </c>
      <c r="J98" t="s">
        <v>3263</v>
      </c>
      <c r="K98" t="s">
        <v>3588</v>
      </c>
    </row>
    <row r="99" spans="1:11" x14ac:dyDescent="0.3">
      <c r="A99" t="s">
        <v>3605</v>
      </c>
      <c r="B99" t="s">
        <v>1446</v>
      </c>
      <c r="C99" t="s">
        <v>1464</v>
      </c>
      <c r="D99" t="s">
        <v>4111</v>
      </c>
      <c r="E99" t="s">
        <v>404</v>
      </c>
      <c r="F99" s="1" t="str">
        <f>HYPERLINK("http://ovidsp.ovid.com/ovidweb.cgi?T=JS&amp;NEWS=n&amp;CSC=Y&amp;PAGE=booktext&amp;D=books&amp;AN=01256991$&amp;XPATH=/PG(0)&amp;EPUB=Y","http://ovidsp.ovid.com/ovidweb.cgi?T=JS&amp;NEWS=n&amp;CSC=Y&amp;PAGE=booktext&amp;D=books&amp;AN=01256991$&amp;XPATH=/PG(0)&amp;EPUB=Y")</f>
        <v>http://ovidsp.ovid.com/ovidweb.cgi?T=JS&amp;NEWS=n&amp;CSC=Y&amp;PAGE=booktext&amp;D=books&amp;AN=01256991$&amp;XPATH=/PG(0)&amp;EPUB=Y</v>
      </c>
      <c r="G99" t="s">
        <v>2139</v>
      </c>
      <c r="H99" t="s">
        <v>2974</v>
      </c>
      <c r="I99">
        <v>1206726</v>
      </c>
      <c r="J99" t="s">
        <v>3263</v>
      </c>
      <c r="K99" t="s">
        <v>2625</v>
      </c>
    </row>
    <row r="100" spans="1:11" x14ac:dyDescent="0.3">
      <c r="A100" t="s">
        <v>2302</v>
      </c>
      <c r="B100" t="s">
        <v>4004</v>
      </c>
      <c r="C100" t="s">
        <v>1679</v>
      </c>
      <c r="D100" t="s">
        <v>4111</v>
      </c>
      <c r="E100" t="s">
        <v>404</v>
      </c>
      <c r="F100" s="1" t="str">
        <f>HYPERLINK("http://ovidsp.ovid.com/ovidweb.cgi?T=JS&amp;NEWS=n&amp;CSC=Y&amp;PAGE=booktext&amp;D=books&amp;AN=01337658$&amp;XPATH=/PG(0)&amp;EPUB=Y","http://ovidsp.ovid.com/ovidweb.cgi?T=JS&amp;NEWS=n&amp;CSC=Y&amp;PAGE=booktext&amp;D=books&amp;AN=01337658$&amp;XPATH=/PG(0)&amp;EPUB=Y")</f>
        <v>http://ovidsp.ovid.com/ovidweb.cgi?T=JS&amp;NEWS=n&amp;CSC=Y&amp;PAGE=booktext&amp;D=books&amp;AN=01337658$&amp;XPATH=/PG(0)&amp;EPUB=Y</v>
      </c>
      <c r="G100" t="s">
        <v>2139</v>
      </c>
      <c r="H100" t="s">
        <v>2974</v>
      </c>
      <c r="I100">
        <v>1206726</v>
      </c>
      <c r="J100" t="s">
        <v>3263</v>
      </c>
      <c r="K100" t="s">
        <v>4</v>
      </c>
    </row>
    <row r="101" spans="1:11" x14ac:dyDescent="0.3">
      <c r="A101" t="s">
        <v>377</v>
      </c>
      <c r="B101" t="s">
        <v>1093</v>
      </c>
      <c r="C101" t="s">
        <v>1771</v>
      </c>
      <c r="D101" t="s">
        <v>4111</v>
      </c>
      <c r="E101" t="s">
        <v>1104</v>
      </c>
      <c r="F101" s="1" t="str">
        <f>HYPERLINK("http://ovidsp.ovid.com/ovidweb.cgi?T=JS&amp;NEWS=n&amp;CSC=Y&amp;PAGE=booktext&amp;D=books&amp;AN=01337659$&amp;XPATH=/PG(0)&amp;EPUB=Y","http://ovidsp.ovid.com/ovidweb.cgi?T=JS&amp;NEWS=n&amp;CSC=Y&amp;PAGE=booktext&amp;D=books&amp;AN=01337659$&amp;XPATH=/PG(0)&amp;EPUB=Y")</f>
        <v>http://ovidsp.ovid.com/ovidweb.cgi?T=JS&amp;NEWS=n&amp;CSC=Y&amp;PAGE=booktext&amp;D=books&amp;AN=01337659$&amp;XPATH=/PG(0)&amp;EPUB=Y</v>
      </c>
      <c r="G101" t="s">
        <v>2139</v>
      </c>
      <c r="H101" t="s">
        <v>2974</v>
      </c>
      <c r="I101">
        <v>1206726</v>
      </c>
      <c r="J101" t="s">
        <v>3263</v>
      </c>
      <c r="K101" t="s">
        <v>4403</v>
      </c>
    </row>
    <row r="102" spans="1:11" x14ac:dyDescent="0.3">
      <c r="A102" t="s">
        <v>2873</v>
      </c>
      <c r="B102" t="s">
        <v>2680</v>
      </c>
      <c r="C102" t="s">
        <v>3300</v>
      </c>
      <c r="D102" t="s">
        <v>4111</v>
      </c>
      <c r="E102" t="s">
        <v>3051</v>
      </c>
      <c r="F102" s="1" t="str">
        <f>HYPERLINK("http://ovidsp.ovid.com/ovidweb.cgi?T=JS&amp;NEWS=n&amp;CSC=Y&amp;PAGE=booktext&amp;D=books&amp;AN=01429592$&amp;XPATH=/PG(0)&amp;EPUB=Y","http://ovidsp.ovid.com/ovidweb.cgi?T=JS&amp;NEWS=n&amp;CSC=Y&amp;PAGE=booktext&amp;D=books&amp;AN=01429592$&amp;XPATH=/PG(0)&amp;EPUB=Y")</f>
        <v>http://ovidsp.ovid.com/ovidweb.cgi?T=JS&amp;NEWS=n&amp;CSC=Y&amp;PAGE=booktext&amp;D=books&amp;AN=01429592$&amp;XPATH=/PG(0)&amp;EPUB=Y</v>
      </c>
      <c r="G102" t="s">
        <v>2139</v>
      </c>
      <c r="H102" t="s">
        <v>2974</v>
      </c>
      <c r="I102">
        <v>1206726</v>
      </c>
      <c r="J102" t="s">
        <v>3263</v>
      </c>
      <c r="K102" t="s">
        <v>1169</v>
      </c>
    </row>
    <row r="103" spans="1:11" x14ac:dyDescent="0.3">
      <c r="A103" t="s">
        <v>1427</v>
      </c>
      <c r="B103" t="s">
        <v>1486</v>
      </c>
      <c r="C103" t="s">
        <v>2580</v>
      </c>
      <c r="D103" t="s">
        <v>4111</v>
      </c>
      <c r="E103" t="s">
        <v>3387</v>
      </c>
      <c r="F103" s="1" t="str">
        <f>HYPERLINK("http://ovidsp.ovid.com/ovidweb.cgi?T=JS&amp;NEWS=n&amp;CSC=Y&amp;PAGE=booktext&amp;D=books&amp;AN=01222976$&amp;XPATH=/PG(0)&amp;EPUB=Y","http://ovidsp.ovid.com/ovidweb.cgi?T=JS&amp;NEWS=n&amp;CSC=Y&amp;PAGE=booktext&amp;D=books&amp;AN=01222976$&amp;XPATH=/PG(0)&amp;EPUB=Y")</f>
        <v>http://ovidsp.ovid.com/ovidweb.cgi?T=JS&amp;NEWS=n&amp;CSC=Y&amp;PAGE=booktext&amp;D=books&amp;AN=01222976$&amp;XPATH=/PG(0)&amp;EPUB=Y</v>
      </c>
      <c r="G103" t="s">
        <v>2139</v>
      </c>
      <c r="H103" t="s">
        <v>2974</v>
      </c>
      <c r="I103">
        <v>1206726</v>
      </c>
      <c r="J103" t="s">
        <v>3263</v>
      </c>
      <c r="K103" t="s">
        <v>1756</v>
      </c>
    </row>
    <row r="104" spans="1:11" x14ac:dyDescent="0.3">
      <c r="A104" t="s">
        <v>1274</v>
      </c>
      <c r="B104" t="s">
        <v>175</v>
      </c>
      <c r="C104" t="s">
        <v>1723</v>
      </c>
      <c r="D104" t="s">
        <v>4111</v>
      </c>
      <c r="E104" t="s">
        <v>2223</v>
      </c>
      <c r="F104" s="1" t="str">
        <f>HYPERLINK("http://ovidsp.ovid.com/ovidweb.cgi?T=JS&amp;NEWS=n&amp;CSC=Y&amp;PAGE=booktext&amp;D=books&amp;AN=01382441$&amp;XPATH=/PG(0)&amp;EPUB=Y","http://ovidsp.ovid.com/ovidweb.cgi?T=JS&amp;NEWS=n&amp;CSC=Y&amp;PAGE=booktext&amp;D=books&amp;AN=01382441$&amp;XPATH=/PG(0)&amp;EPUB=Y")</f>
        <v>http://ovidsp.ovid.com/ovidweb.cgi?T=JS&amp;NEWS=n&amp;CSC=Y&amp;PAGE=booktext&amp;D=books&amp;AN=01382441$&amp;XPATH=/PG(0)&amp;EPUB=Y</v>
      </c>
      <c r="G104" t="s">
        <v>2139</v>
      </c>
      <c r="H104" t="s">
        <v>2974</v>
      </c>
      <c r="I104">
        <v>1206726</v>
      </c>
      <c r="J104" t="s">
        <v>3263</v>
      </c>
      <c r="K104" t="s">
        <v>4441</v>
      </c>
    </row>
    <row r="105" spans="1:11" x14ac:dyDescent="0.3">
      <c r="A105" t="s">
        <v>499</v>
      </c>
      <c r="B105" t="s">
        <v>3045</v>
      </c>
      <c r="C105" t="s">
        <v>1153</v>
      </c>
      <c r="D105" t="s">
        <v>4111</v>
      </c>
      <c r="E105" t="s">
        <v>2223</v>
      </c>
      <c r="F105" s="1" t="str">
        <f>HYPERLINK("http://ovidsp.ovid.com/ovidweb.cgi?T=JS&amp;NEWS=n&amp;CSC=Y&amp;PAGE=booktext&amp;D=books&amp;AN=01437406$&amp;XPATH=/PG(0)&amp;EPUB=Y","http://ovidsp.ovid.com/ovidweb.cgi?T=JS&amp;NEWS=n&amp;CSC=Y&amp;PAGE=booktext&amp;D=books&amp;AN=01437406$&amp;XPATH=/PG(0)&amp;EPUB=Y")</f>
        <v>http://ovidsp.ovid.com/ovidweb.cgi?T=JS&amp;NEWS=n&amp;CSC=Y&amp;PAGE=booktext&amp;D=books&amp;AN=01437406$&amp;XPATH=/PG(0)&amp;EPUB=Y</v>
      </c>
      <c r="G105" t="s">
        <v>2139</v>
      </c>
      <c r="H105" t="s">
        <v>2974</v>
      </c>
      <c r="I105">
        <v>1206726</v>
      </c>
      <c r="J105" t="s">
        <v>3263</v>
      </c>
      <c r="K105" t="s">
        <v>2904</v>
      </c>
    </row>
    <row r="106" spans="1:11" x14ac:dyDescent="0.3">
      <c r="A106" t="s">
        <v>1247</v>
      </c>
      <c r="B106" t="s">
        <v>3370</v>
      </c>
      <c r="C106" t="s">
        <v>727</v>
      </c>
      <c r="D106" t="s">
        <v>4111</v>
      </c>
      <c r="E106" t="s">
        <v>2223</v>
      </c>
      <c r="F106" s="1" t="str">
        <f>HYPERLINK("http://ovidsp.ovid.com/ovidweb.cgi?T=JS&amp;NEWS=n&amp;CSC=Y&amp;PAGE=booktext&amp;D=books&amp;AN=01279730$&amp;XPATH=/PG(0)&amp;EPUB=Y","http://ovidsp.ovid.com/ovidweb.cgi?T=JS&amp;NEWS=n&amp;CSC=Y&amp;PAGE=booktext&amp;D=books&amp;AN=01279730$&amp;XPATH=/PG(0)&amp;EPUB=Y")</f>
        <v>http://ovidsp.ovid.com/ovidweb.cgi?T=JS&amp;NEWS=n&amp;CSC=Y&amp;PAGE=booktext&amp;D=books&amp;AN=01279730$&amp;XPATH=/PG(0)&amp;EPUB=Y</v>
      </c>
      <c r="G106" t="s">
        <v>2139</v>
      </c>
      <c r="H106" t="s">
        <v>2974</v>
      </c>
      <c r="I106">
        <v>1206726</v>
      </c>
      <c r="J106" t="s">
        <v>3263</v>
      </c>
      <c r="K106" t="s">
        <v>821</v>
      </c>
    </row>
    <row r="107" spans="1:11" x14ac:dyDescent="0.3">
      <c r="A107" t="s">
        <v>1766</v>
      </c>
      <c r="B107" t="s">
        <v>2883</v>
      </c>
      <c r="C107" t="s">
        <v>4152</v>
      </c>
      <c r="D107" t="s">
        <v>4111</v>
      </c>
      <c r="E107" t="s">
        <v>2223</v>
      </c>
      <c r="F107" s="1" t="str">
        <f>HYPERLINK("http://ovidsp.ovid.com/ovidweb.cgi?T=JS&amp;NEWS=n&amp;CSC=Y&amp;PAGE=booktext&amp;D=books&amp;AN=01435753$&amp;XPATH=/PG(0)&amp;EPUB=Y","http://ovidsp.ovid.com/ovidweb.cgi?T=JS&amp;NEWS=n&amp;CSC=Y&amp;PAGE=booktext&amp;D=books&amp;AN=01435753$&amp;XPATH=/PG(0)&amp;EPUB=Y")</f>
        <v>http://ovidsp.ovid.com/ovidweb.cgi?T=JS&amp;NEWS=n&amp;CSC=Y&amp;PAGE=booktext&amp;D=books&amp;AN=01435753$&amp;XPATH=/PG(0)&amp;EPUB=Y</v>
      </c>
      <c r="G107" t="s">
        <v>2139</v>
      </c>
      <c r="H107" t="s">
        <v>2974</v>
      </c>
      <c r="I107">
        <v>1206726</v>
      </c>
      <c r="J107" t="s">
        <v>3263</v>
      </c>
      <c r="K107" t="s">
        <v>1034</v>
      </c>
    </row>
    <row r="108" spans="1:11" x14ac:dyDescent="0.3">
      <c r="A108" t="s">
        <v>3815</v>
      </c>
      <c r="B108" t="s">
        <v>422</v>
      </c>
      <c r="C108" t="s">
        <v>205</v>
      </c>
      <c r="D108" t="s">
        <v>4111</v>
      </c>
      <c r="E108" t="s">
        <v>2223</v>
      </c>
      <c r="F108" s="1" t="str">
        <f>HYPERLINK("http://ovidsp.ovid.com/ovidweb.cgi?T=JS&amp;NEWS=n&amp;CSC=Y&amp;PAGE=booktext&amp;D=books&amp;AN=01436978$&amp;XPATH=/PG(0)&amp;EPUB=Y","http://ovidsp.ovid.com/ovidweb.cgi?T=JS&amp;NEWS=n&amp;CSC=Y&amp;PAGE=booktext&amp;D=books&amp;AN=01436978$&amp;XPATH=/PG(0)&amp;EPUB=Y")</f>
        <v>http://ovidsp.ovid.com/ovidweb.cgi?T=JS&amp;NEWS=n&amp;CSC=Y&amp;PAGE=booktext&amp;D=books&amp;AN=01436978$&amp;XPATH=/PG(0)&amp;EPUB=Y</v>
      </c>
      <c r="G108" t="s">
        <v>2139</v>
      </c>
      <c r="H108" t="s">
        <v>2974</v>
      </c>
      <c r="I108">
        <v>1206726</v>
      </c>
      <c r="J108" t="s">
        <v>3263</v>
      </c>
      <c r="K108" t="s">
        <v>2667</v>
      </c>
    </row>
    <row r="109" spans="1:11" x14ac:dyDescent="0.3">
      <c r="A109" t="s">
        <v>2700</v>
      </c>
      <c r="B109" t="s">
        <v>1995</v>
      </c>
      <c r="C109" t="s">
        <v>4662</v>
      </c>
      <c r="D109" t="s">
        <v>4111</v>
      </c>
      <c r="E109" t="s">
        <v>2223</v>
      </c>
      <c r="F109" s="1" t="str">
        <f>HYPERLINK("http://ovidsp.ovid.com/ovidweb.cgi?T=JS&amp;NEWS=n&amp;CSC=Y&amp;PAGE=booktext&amp;D=books&amp;AN=01337660$&amp;XPATH=/PG(0)&amp;EPUB=Y","http://ovidsp.ovid.com/ovidweb.cgi?T=JS&amp;NEWS=n&amp;CSC=Y&amp;PAGE=booktext&amp;D=books&amp;AN=01337660$&amp;XPATH=/PG(0)&amp;EPUB=Y")</f>
        <v>http://ovidsp.ovid.com/ovidweb.cgi?T=JS&amp;NEWS=n&amp;CSC=Y&amp;PAGE=booktext&amp;D=books&amp;AN=01337660$&amp;XPATH=/PG(0)&amp;EPUB=Y</v>
      </c>
      <c r="G109" t="s">
        <v>2139</v>
      </c>
      <c r="H109" t="s">
        <v>2974</v>
      </c>
      <c r="I109">
        <v>1206726</v>
      </c>
      <c r="J109" t="s">
        <v>3263</v>
      </c>
      <c r="K109" t="s">
        <v>2488</v>
      </c>
    </row>
    <row r="110" spans="1:11" x14ac:dyDescent="0.3">
      <c r="A110" t="s">
        <v>814</v>
      </c>
      <c r="B110" t="s">
        <v>2031</v>
      </c>
      <c r="C110" t="s">
        <v>1155</v>
      </c>
      <c r="D110" t="s">
        <v>4111</v>
      </c>
      <c r="E110" t="s">
        <v>2223</v>
      </c>
      <c r="F110" s="1" t="str">
        <f>HYPERLINK("http://ovidsp.ovid.com/ovidweb.cgi?T=JS&amp;NEWS=n&amp;CSC=Y&amp;PAGE=booktext&amp;D=books&amp;AN=01382442$&amp;XPATH=/PG(0)&amp;EPUB=Y","http://ovidsp.ovid.com/ovidweb.cgi?T=JS&amp;NEWS=n&amp;CSC=Y&amp;PAGE=booktext&amp;D=books&amp;AN=01382442$&amp;XPATH=/PG(0)&amp;EPUB=Y")</f>
        <v>http://ovidsp.ovid.com/ovidweb.cgi?T=JS&amp;NEWS=n&amp;CSC=Y&amp;PAGE=booktext&amp;D=books&amp;AN=01382442$&amp;XPATH=/PG(0)&amp;EPUB=Y</v>
      </c>
      <c r="G110" t="s">
        <v>2139</v>
      </c>
      <c r="H110" t="s">
        <v>2974</v>
      </c>
      <c r="I110">
        <v>1206726</v>
      </c>
      <c r="J110" t="s">
        <v>3263</v>
      </c>
      <c r="K110" t="s">
        <v>358</v>
      </c>
    </row>
    <row r="111" spans="1:11" x14ac:dyDescent="0.3">
      <c r="A111" t="s">
        <v>3473</v>
      </c>
      <c r="B111" t="s">
        <v>2240</v>
      </c>
      <c r="C111" t="s">
        <v>4631</v>
      </c>
      <c r="D111" t="s">
        <v>4111</v>
      </c>
      <c r="E111" t="s">
        <v>1104</v>
      </c>
      <c r="F111" s="1" t="str">
        <f>HYPERLINK("http://ovidsp.ovid.com/ovidweb.cgi?T=JS&amp;NEWS=n&amp;CSC=Y&amp;PAGE=booktext&amp;D=books&amp;AN=01438862$&amp;XPATH=/PG(0)&amp;EPUB=Y","http://ovidsp.ovid.com/ovidweb.cgi?T=JS&amp;NEWS=n&amp;CSC=Y&amp;PAGE=booktext&amp;D=books&amp;AN=01438862$&amp;XPATH=/PG(0)&amp;EPUB=Y")</f>
        <v>http://ovidsp.ovid.com/ovidweb.cgi?T=JS&amp;NEWS=n&amp;CSC=Y&amp;PAGE=booktext&amp;D=books&amp;AN=01438862$&amp;XPATH=/PG(0)&amp;EPUB=Y</v>
      </c>
      <c r="G111" t="s">
        <v>2139</v>
      </c>
      <c r="H111" t="s">
        <v>2974</v>
      </c>
      <c r="I111">
        <v>1206726</v>
      </c>
      <c r="J111" t="s">
        <v>3263</v>
      </c>
      <c r="K111" t="s">
        <v>1096</v>
      </c>
    </row>
    <row r="112" spans="1:11" x14ac:dyDescent="0.3">
      <c r="A112" t="s">
        <v>2450</v>
      </c>
      <c r="B112" t="s">
        <v>4319</v>
      </c>
      <c r="C112" t="s">
        <v>3146</v>
      </c>
      <c r="D112" t="s">
        <v>4111</v>
      </c>
      <c r="E112" t="s">
        <v>2223</v>
      </c>
      <c r="F112" s="1" t="str">
        <f>HYPERLINK("http://ovidsp.ovid.com/ovidweb.cgi?T=JS&amp;NEWS=n&amp;CSC=Y&amp;PAGE=booktext&amp;D=books&amp;AN=01429427$&amp;XPATH=/PG(0)&amp;EPUB=Y","http://ovidsp.ovid.com/ovidweb.cgi?T=JS&amp;NEWS=n&amp;CSC=Y&amp;PAGE=booktext&amp;D=books&amp;AN=01429427$&amp;XPATH=/PG(0)&amp;EPUB=Y")</f>
        <v>http://ovidsp.ovid.com/ovidweb.cgi?T=JS&amp;NEWS=n&amp;CSC=Y&amp;PAGE=booktext&amp;D=books&amp;AN=01429427$&amp;XPATH=/PG(0)&amp;EPUB=Y</v>
      </c>
      <c r="G112" t="s">
        <v>2139</v>
      </c>
      <c r="H112" t="s">
        <v>2974</v>
      </c>
      <c r="I112">
        <v>1206726</v>
      </c>
      <c r="J112" t="s">
        <v>3263</v>
      </c>
      <c r="K112" t="s">
        <v>3143</v>
      </c>
    </row>
    <row r="113" spans="1:11" x14ac:dyDescent="0.3">
      <c r="A113" t="s">
        <v>928</v>
      </c>
      <c r="B113" t="s">
        <v>4546</v>
      </c>
      <c r="C113" t="s">
        <v>3966</v>
      </c>
      <c r="D113" t="s">
        <v>4111</v>
      </c>
      <c r="E113" t="s">
        <v>1595</v>
      </c>
      <c r="F113" s="1" t="str">
        <f>HYPERLINK("http://ovidsp.ovid.com/ovidweb.cgi?T=JS&amp;NEWS=n&amp;CSC=Y&amp;PAGE=booktext&amp;D=books&amp;AN=01271249$&amp;XPATH=/PG(0)&amp;EPUB=Y","http://ovidsp.ovid.com/ovidweb.cgi?T=JS&amp;NEWS=n&amp;CSC=Y&amp;PAGE=booktext&amp;D=books&amp;AN=01271249$&amp;XPATH=/PG(0)&amp;EPUB=Y")</f>
        <v>http://ovidsp.ovid.com/ovidweb.cgi?T=JS&amp;NEWS=n&amp;CSC=Y&amp;PAGE=booktext&amp;D=books&amp;AN=01271249$&amp;XPATH=/PG(0)&amp;EPUB=Y</v>
      </c>
      <c r="G113" t="s">
        <v>2139</v>
      </c>
      <c r="H113" t="s">
        <v>2974</v>
      </c>
      <c r="I113">
        <v>1206726</v>
      </c>
      <c r="J113" t="s">
        <v>3263</v>
      </c>
      <c r="K113" t="s">
        <v>2303</v>
      </c>
    </row>
    <row r="114" spans="1:11" x14ac:dyDescent="0.3">
      <c r="A114" t="s">
        <v>928</v>
      </c>
      <c r="B114" t="s">
        <v>2564</v>
      </c>
      <c r="C114" t="s">
        <v>3135</v>
      </c>
      <c r="D114" t="s">
        <v>4111</v>
      </c>
      <c r="E114" t="s">
        <v>3387</v>
      </c>
      <c r="F114" s="1" t="str">
        <f>HYPERLINK("http://ovidsp.ovid.com/ovidweb.cgi?T=JS&amp;NEWS=n&amp;CSC=Y&amp;PAGE=booktext&amp;D=books&amp;AN=01222977$&amp;XPATH=/PG(0)&amp;EPUB=Y","http://ovidsp.ovid.com/ovidweb.cgi?T=JS&amp;NEWS=n&amp;CSC=Y&amp;PAGE=booktext&amp;D=books&amp;AN=01222977$&amp;XPATH=/PG(0)&amp;EPUB=Y")</f>
        <v>http://ovidsp.ovid.com/ovidweb.cgi?T=JS&amp;NEWS=n&amp;CSC=Y&amp;PAGE=booktext&amp;D=books&amp;AN=01222977$&amp;XPATH=/PG(0)&amp;EPUB=Y</v>
      </c>
      <c r="G114" t="s">
        <v>2139</v>
      </c>
      <c r="H114" t="s">
        <v>2974</v>
      </c>
      <c r="I114">
        <v>1206726</v>
      </c>
      <c r="J114" t="s">
        <v>3263</v>
      </c>
      <c r="K114" t="s">
        <v>3374</v>
      </c>
    </row>
    <row r="115" spans="1:11" x14ac:dyDescent="0.3">
      <c r="A115" t="s">
        <v>4375</v>
      </c>
      <c r="B115" t="s">
        <v>2366</v>
      </c>
      <c r="C115" t="s">
        <v>287</v>
      </c>
      <c r="D115" t="s">
        <v>4111</v>
      </c>
      <c r="E115" t="s">
        <v>1104</v>
      </c>
      <c r="F115" s="1" t="str">
        <f>HYPERLINK("http://ovidsp.ovid.com/ovidweb.cgi?T=JS&amp;NEWS=n&amp;CSC=Y&amp;PAGE=booktext&amp;D=books&amp;AN=01382443$&amp;XPATH=/PG(0)&amp;EPUB=Y","http://ovidsp.ovid.com/ovidweb.cgi?T=JS&amp;NEWS=n&amp;CSC=Y&amp;PAGE=booktext&amp;D=books&amp;AN=01382443$&amp;XPATH=/PG(0)&amp;EPUB=Y")</f>
        <v>http://ovidsp.ovid.com/ovidweb.cgi?T=JS&amp;NEWS=n&amp;CSC=Y&amp;PAGE=booktext&amp;D=books&amp;AN=01382443$&amp;XPATH=/PG(0)&amp;EPUB=Y</v>
      </c>
      <c r="G115" t="s">
        <v>2139</v>
      </c>
      <c r="H115" t="s">
        <v>2974</v>
      </c>
      <c r="I115">
        <v>1206726</v>
      </c>
      <c r="J115" t="s">
        <v>3263</v>
      </c>
      <c r="K115" t="s">
        <v>1430</v>
      </c>
    </row>
    <row r="116" spans="1:11" x14ac:dyDescent="0.3">
      <c r="A116" t="s">
        <v>329</v>
      </c>
      <c r="B116" t="s">
        <v>438</v>
      </c>
      <c r="C116" t="s">
        <v>1086</v>
      </c>
      <c r="D116" t="s">
        <v>4111</v>
      </c>
      <c r="E116" t="s">
        <v>1595</v>
      </c>
      <c r="F116" s="1" t="str">
        <f>HYPERLINK("http://ovidsp.ovid.com/ovidweb.cgi?T=JS&amp;NEWS=n&amp;CSC=Y&amp;PAGE=booktext&amp;D=books&amp;AN=00140013$&amp;XPATH=/PG(0)&amp;EPUB=Y","http://ovidsp.ovid.com/ovidweb.cgi?T=JS&amp;NEWS=n&amp;CSC=Y&amp;PAGE=booktext&amp;D=books&amp;AN=00140013$&amp;XPATH=/PG(0)&amp;EPUB=Y")</f>
        <v>http://ovidsp.ovid.com/ovidweb.cgi?T=JS&amp;NEWS=n&amp;CSC=Y&amp;PAGE=booktext&amp;D=books&amp;AN=00140013$&amp;XPATH=/PG(0)&amp;EPUB=Y</v>
      </c>
      <c r="G116" t="s">
        <v>2139</v>
      </c>
      <c r="H116" t="s">
        <v>2974</v>
      </c>
      <c r="I116">
        <v>1206726</v>
      </c>
      <c r="J116" t="s">
        <v>3263</v>
      </c>
      <c r="K116" t="s">
        <v>4118</v>
      </c>
    </row>
    <row r="117" spans="1:11" x14ac:dyDescent="0.3">
      <c r="A117" t="s">
        <v>4458</v>
      </c>
      <c r="B117" t="s">
        <v>3183</v>
      </c>
      <c r="C117" t="s">
        <v>2455</v>
      </c>
      <c r="D117" t="s">
        <v>4111</v>
      </c>
      <c r="E117" t="s">
        <v>404</v>
      </c>
      <c r="F117" s="1" t="str">
        <f>HYPERLINK("http://ovidsp.ovid.com/ovidweb.cgi?T=JS&amp;NEWS=n&amp;CSC=Y&amp;PAGE=booktext&amp;D=books&amp;AN=01382445$&amp;XPATH=/PG(0)&amp;EPUB=Y","http://ovidsp.ovid.com/ovidweb.cgi?T=JS&amp;NEWS=n&amp;CSC=Y&amp;PAGE=booktext&amp;D=books&amp;AN=01382445$&amp;XPATH=/PG(0)&amp;EPUB=Y")</f>
        <v>http://ovidsp.ovid.com/ovidweb.cgi?T=JS&amp;NEWS=n&amp;CSC=Y&amp;PAGE=booktext&amp;D=books&amp;AN=01382445$&amp;XPATH=/PG(0)&amp;EPUB=Y</v>
      </c>
      <c r="G117" t="s">
        <v>2139</v>
      </c>
      <c r="H117" t="s">
        <v>2974</v>
      </c>
      <c r="I117">
        <v>1206726</v>
      </c>
      <c r="J117" t="s">
        <v>3263</v>
      </c>
      <c r="K117" t="s">
        <v>4508</v>
      </c>
    </row>
    <row r="118" spans="1:11" x14ac:dyDescent="0.3">
      <c r="A118" t="s">
        <v>1434</v>
      </c>
      <c r="B118" t="s">
        <v>2677</v>
      </c>
      <c r="C118" t="s">
        <v>2322</v>
      </c>
      <c r="D118" t="s">
        <v>4111</v>
      </c>
      <c r="E118" t="s">
        <v>2223</v>
      </c>
      <c r="F118" s="1" t="str">
        <f>HYPERLINK("http://ovidsp.ovid.com/ovidweb.cgi?T=JS&amp;NEWS=n&amp;CSC=Y&amp;PAGE=booktext&amp;D=books&amp;AN=01256992$&amp;XPATH=/PG(0)&amp;EPUB=Y","http://ovidsp.ovid.com/ovidweb.cgi?T=JS&amp;NEWS=n&amp;CSC=Y&amp;PAGE=booktext&amp;D=books&amp;AN=01256992$&amp;XPATH=/PG(0)&amp;EPUB=Y")</f>
        <v>http://ovidsp.ovid.com/ovidweb.cgi?T=JS&amp;NEWS=n&amp;CSC=Y&amp;PAGE=booktext&amp;D=books&amp;AN=01256992$&amp;XPATH=/PG(0)&amp;EPUB=Y</v>
      </c>
      <c r="G118" t="s">
        <v>2139</v>
      </c>
      <c r="H118" t="s">
        <v>2974</v>
      </c>
      <c r="I118">
        <v>1206726</v>
      </c>
      <c r="J118" t="s">
        <v>3263</v>
      </c>
      <c r="K118" t="s">
        <v>2900</v>
      </c>
    </row>
    <row r="119" spans="1:11" x14ac:dyDescent="0.3">
      <c r="A119" t="s">
        <v>2940</v>
      </c>
      <c r="B119" t="s">
        <v>2187</v>
      </c>
      <c r="C119" t="s">
        <v>3806</v>
      </c>
      <c r="D119" t="s">
        <v>4111</v>
      </c>
      <c r="E119" t="s">
        <v>2876</v>
      </c>
      <c r="F119" s="1" t="str">
        <f>HYPERLINK("http://ovidsp.ovid.com/ovidweb.cgi?T=JS&amp;NEWS=n&amp;CSC=Y&amp;PAGE=booktext&amp;D=books&amp;AN=01279699$&amp;XPATH=/PG(0)&amp;EPUB=Y","http://ovidsp.ovid.com/ovidweb.cgi?T=JS&amp;NEWS=n&amp;CSC=Y&amp;PAGE=booktext&amp;D=books&amp;AN=01279699$&amp;XPATH=/PG(0)&amp;EPUB=Y")</f>
        <v>http://ovidsp.ovid.com/ovidweb.cgi?T=JS&amp;NEWS=n&amp;CSC=Y&amp;PAGE=booktext&amp;D=books&amp;AN=01279699$&amp;XPATH=/PG(0)&amp;EPUB=Y</v>
      </c>
      <c r="G119" t="s">
        <v>2139</v>
      </c>
      <c r="H119" t="s">
        <v>2974</v>
      </c>
      <c r="I119">
        <v>1206726</v>
      </c>
      <c r="J119" t="s">
        <v>3263</v>
      </c>
      <c r="K119" t="s">
        <v>4033</v>
      </c>
    </row>
    <row r="120" spans="1:11" x14ac:dyDescent="0.3">
      <c r="A120" t="s">
        <v>67</v>
      </c>
      <c r="B120" t="s">
        <v>4324</v>
      </c>
      <c r="C120" t="s">
        <v>4592</v>
      </c>
      <c r="D120" t="s">
        <v>4111</v>
      </c>
      <c r="E120" t="s">
        <v>259</v>
      </c>
      <c r="F120" s="1" t="str">
        <f>HYPERLINK("http://ovidsp.ovid.com/ovidweb.cgi?T=JS&amp;NEWS=n&amp;CSC=Y&amp;PAGE=booktext&amp;D=books&amp;AN=00139966$&amp;XPATH=/PG(0)&amp;EPUB=Y","http://ovidsp.ovid.com/ovidweb.cgi?T=JS&amp;NEWS=n&amp;CSC=Y&amp;PAGE=booktext&amp;D=books&amp;AN=00139966$&amp;XPATH=/PG(0)&amp;EPUB=Y")</f>
        <v>http://ovidsp.ovid.com/ovidweb.cgi?T=JS&amp;NEWS=n&amp;CSC=Y&amp;PAGE=booktext&amp;D=books&amp;AN=00139966$&amp;XPATH=/PG(0)&amp;EPUB=Y</v>
      </c>
      <c r="G120" t="s">
        <v>2139</v>
      </c>
      <c r="H120" t="s">
        <v>2974</v>
      </c>
      <c r="I120">
        <v>1206726</v>
      </c>
      <c r="J120" t="s">
        <v>3263</v>
      </c>
      <c r="K120" t="s">
        <v>2207</v>
      </c>
    </row>
    <row r="121" spans="1:11" x14ac:dyDescent="0.3">
      <c r="A121" t="s">
        <v>67</v>
      </c>
      <c r="B121" t="s">
        <v>4208</v>
      </c>
      <c r="C121" t="s">
        <v>2114</v>
      </c>
      <c r="D121" t="s">
        <v>4111</v>
      </c>
      <c r="E121" t="s">
        <v>4273</v>
      </c>
      <c r="F121" s="1" t="str">
        <f>HYPERLINK("http://ovidsp.ovid.com/ovidweb.cgi?T=JS&amp;NEWS=n&amp;CSC=Y&amp;PAGE=booktext&amp;D=books&amp;AN=01634959$&amp;XPATH=/PG(0)&amp;EPUB=Y","http://ovidsp.ovid.com/ovidweb.cgi?T=JS&amp;NEWS=n&amp;CSC=Y&amp;PAGE=booktext&amp;D=books&amp;AN=01634959$&amp;XPATH=/PG(0)&amp;EPUB=Y")</f>
        <v>http://ovidsp.ovid.com/ovidweb.cgi?T=JS&amp;NEWS=n&amp;CSC=Y&amp;PAGE=booktext&amp;D=books&amp;AN=01634959$&amp;XPATH=/PG(0)&amp;EPUB=Y</v>
      </c>
      <c r="G121" t="s">
        <v>2139</v>
      </c>
      <c r="H121" t="s">
        <v>2974</v>
      </c>
      <c r="I121">
        <v>1206726</v>
      </c>
      <c r="J121" t="s">
        <v>3263</v>
      </c>
      <c r="K121" t="s">
        <v>157</v>
      </c>
    </row>
    <row r="122" spans="1:11" x14ac:dyDescent="0.3">
      <c r="A122" t="s">
        <v>997</v>
      </c>
      <c r="B122" t="s">
        <v>3748</v>
      </c>
      <c r="C122" t="s">
        <v>424</v>
      </c>
      <c r="D122" t="s">
        <v>4111</v>
      </c>
      <c r="E122" t="s">
        <v>2876</v>
      </c>
      <c r="F122" s="1" t="str">
        <f>HYPERLINK("http://ovidsp.ovid.com/ovidweb.cgi?T=JS&amp;NEWS=n&amp;CSC=Y&amp;PAGE=booktext&amp;D=books&amp;AN=01412543$&amp;XPATH=/PG(0)&amp;EPUB=Y","http://ovidsp.ovid.com/ovidweb.cgi?T=JS&amp;NEWS=n&amp;CSC=Y&amp;PAGE=booktext&amp;D=books&amp;AN=01412543$&amp;XPATH=/PG(0)&amp;EPUB=Y")</f>
        <v>http://ovidsp.ovid.com/ovidweb.cgi?T=JS&amp;NEWS=n&amp;CSC=Y&amp;PAGE=booktext&amp;D=books&amp;AN=01412543$&amp;XPATH=/PG(0)&amp;EPUB=Y</v>
      </c>
      <c r="G122" t="s">
        <v>2139</v>
      </c>
      <c r="H122" t="s">
        <v>2974</v>
      </c>
      <c r="I122">
        <v>1206726</v>
      </c>
      <c r="J122" t="s">
        <v>3263</v>
      </c>
      <c r="K122" t="s">
        <v>4574</v>
      </c>
    </row>
    <row r="123" spans="1:11" x14ac:dyDescent="0.3">
      <c r="A123" t="s">
        <v>510</v>
      </c>
      <c r="B123" t="s">
        <v>3544</v>
      </c>
      <c r="C123" t="s">
        <v>1702</v>
      </c>
      <c r="D123" t="s">
        <v>4111</v>
      </c>
      <c r="E123" t="s">
        <v>2223</v>
      </c>
      <c r="F123" s="1" t="str">
        <f>HYPERLINK("http://ovidsp.ovid.com/ovidweb.cgi?T=JS&amp;NEWS=n&amp;CSC=Y&amp;PAGE=booktext&amp;D=books&amp;AN=01382849$&amp;XPATH=/PG(0)&amp;EPUB=Y","http://ovidsp.ovid.com/ovidweb.cgi?T=JS&amp;NEWS=n&amp;CSC=Y&amp;PAGE=booktext&amp;D=books&amp;AN=01382849$&amp;XPATH=/PG(0)&amp;EPUB=Y")</f>
        <v>http://ovidsp.ovid.com/ovidweb.cgi?T=JS&amp;NEWS=n&amp;CSC=Y&amp;PAGE=booktext&amp;D=books&amp;AN=01382849$&amp;XPATH=/PG(0)&amp;EPUB=Y</v>
      </c>
      <c r="G123" t="s">
        <v>2139</v>
      </c>
      <c r="H123" t="s">
        <v>2974</v>
      </c>
      <c r="I123">
        <v>1206726</v>
      </c>
      <c r="J123" t="s">
        <v>3263</v>
      </c>
      <c r="K123" t="s">
        <v>1661</v>
      </c>
    </row>
    <row r="124" spans="1:11" x14ac:dyDescent="0.3">
      <c r="A124" t="s">
        <v>3946</v>
      </c>
      <c r="B124" t="s">
        <v>276</v>
      </c>
      <c r="C124" t="s">
        <v>3774</v>
      </c>
      <c r="D124" t="s">
        <v>4111</v>
      </c>
      <c r="E124" t="s">
        <v>404</v>
      </c>
      <c r="F124" s="1" t="str">
        <f>HYPERLINK("http://ovidsp.ovid.com/ovidweb.cgi?T=JS&amp;NEWS=n&amp;CSC=Y&amp;PAGE=booktext&amp;D=books&amp;AN=01382800$&amp;XPATH=/PG(0)&amp;EPUB=Y","http://ovidsp.ovid.com/ovidweb.cgi?T=JS&amp;NEWS=n&amp;CSC=Y&amp;PAGE=booktext&amp;D=books&amp;AN=01382800$&amp;XPATH=/PG(0)&amp;EPUB=Y")</f>
        <v>http://ovidsp.ovid.com/ovidweb.cgi?T=JS&amp;NEWS=n&amp;CSC=Y&amp;PAGE=booktext&amp;D=books&amp;AN=01382800$&amp;XPATH=/PG(0)&amp;EPUB=Y</v>
      </c>
      <c r="G124" t="s">
        <v>2139</v>
      </c>
      <c r="H124" t="s">
        <v>2974</v>
      </c>
      <c r="I124">
        <v>1206726</v>
      </c>
      <c r="J124" t="s">
        <v>3263</v>
      </c>
      <c r="K124" t="s">
        <v>1605</v>
      </c>
    </row>
    <row r="125" spans="1:11" x14ac:dyDescent="0.3">
      <c r="A125" t="s">
        <v>3661</v>
      </c>
      <c r="B125" t="s">
        <v>719</v>
      </c>
      <c r="C125" t="s">
        <v>629</v>
      </c>
      <c r="D125" t="s">
        <v>4111</v>
      </c>
      <c r="E125" t="s">
        <v>404</v>
      </c>
      <c r="F125" s="1" t="str">
        <f>HYPERLINK("http://ovidsp.ovid.com/ovidweb.cgi?T=JS&amp;NEWS=n&amp;CSC=Y&amp;PAGE=booktext&amp;D=books&amp;AN=01429533$&amp;XPATH=/PG(0)&amp;EPUB=Y","http://ovidsp.ovid.com/ovidweb.cgi?T=JS&amp;NEWS=n&amp;CSC=Y&amp;PAGE=booktext&amp;D=books&amp;AN=01429533$&amp;XPATH=/PG(0)&amp;EPUB=Y")</f>
        <v>http://ovidsp.ovid.com/ovidweb.cgi?T=JS&amp;NEWS=n&amp;CSC=Y&amp;PAGE=booktext&amp;D=books&amp;AN=01429533$&amp;XPATH=/PG(0)&amp;EPUB=Y</v>
      </c>
      <c r="G125" t="s">
        <v>2139</v>
      </c>
      <c r="H125" t="s">
        <v>2974</v>
      </c>
      <c r="I125">
        <v>1206726</v>
      </c>
      <c r="J125" t="s">
        <v>3263</v>
      </c>
      <c r="K125" t="s">
        <v>2113</v>
      </c>
    </row>
    <row r="126" spans="1:11" x14ac:dyDescent="0.3">
      <c r="A126" t="s">
        <v>222</v>
      </c>
      <c r="B126" t="s">
        <v>4725</v>
      </c>
      <c r="C126" t="s">
        <v>1400</v>
      </c>
      <c r="D126" t="s">
        <v>4111</v>
      </c>
      <c r="E126" t="s">
        <v>1104</v>
      </c>
      <c r="F126" s="1" t="str">
        <f>HYPERLINK("http://ovidsp.ovid.com/ovidweb.cgi?T=JS&amp;NEWS=n&amp;CSC=Y&amp;PAGE=booktext&amp;D=books&amp;AN=01735124$&amp;XPATH=/PG(0)&amp;EPUB=Y","http://ovidsp.ovid.com/ovidweb.cgi?T=JS&amp;NEWS=n&amp;CSC=Y&amp;PAGE=booktext&amp;D=books&amp;AN=01735124$&amp;XPATH=/PG(0)&amp;EPUB=Y")</f>
        <v>http://ovidsp.ovid.com/ovidweb.cgi?T=JS&amp;NEWS=n&amp;CSC=Y&amp;PAGE=booktext&amp;D=books&amp;AN=01735124$&amp;XPATH=/PG(0)&amp;EPUB=Y</v>
      </c>
      <c r="G126" t="s">
        <v>2139</v>
      </c>
      <c r="H126" t="s">
        <v>2974</v>
      </c>
      <c r="I126">
        <v>1206726</v>
      </c>
      <c r="J126" t="s">
        <v>3263</v>
      </c>
      <c r="K126" t="s">
        <v>2158</v>
      </c>
    </row>
    <row r="127" spans="1:11" x14ac:dyDescent="0.3">
      <c r="A127" t="s">
        <v>3970</v>
      </c>
      <c r="B127" t="s">
        <v>1252</v>
      </c>
      <c r="C127" t="s">
        <v>1727</v>
      </c>
      <c r="D127" t="s">
        <v>4111</v>
      </c>
      <c r="E127" t="s">
        <v>1104</v>
      </c>
      <c r="F127" s="1" t="str">
        <f>HYPERLINK("http://ovidsp.ovid.com/ovidweb.cgi?T=JS&amp;NEWS=n&amp;CSC=Y&amp;PAGE=booktext&amp;D=books&amp;AN=01435385$&amp;XPATH=/PG(0)&amp;EPUB=Y","http://ovidsp.ovid.com/ovidweb.cgi?T=JS&amp;NEWS=n&amp;CSC=Y&amp;PAGE=booktext&amp;D=books&amp;AN=01435385$&amp;XPATH=/PG(0)&amp;EPUB=Y")</f>
        <v>http://ovidsp.ovid.com/ovidweb.cgi?T=JS&amp;NEWS=n&amp;CSC=Y&amp;PAGE=booktext&amp;D=books&amp;AN=01435385$&amp;XPATH=/PG(0)&amp;EPUB=Y</v>
      </c>
      <c r="G127" t="s">
        <v>2139</v>
      </c>
      <c r="H127" t="s">
        <v>2974</v>
      </c>
      <c r="I127">
        <v>1206726</v>
      </c>
      <c r="J127" t="s">
        <v>3263</v>
      </c>
      <c r="K127" t="s">
        <v>1443</v>
      </c>
    </row>
    <row r="128" spans="1:11" x14ac:dyDescent="0.3">
      <c r="A128" t="s">
        <v>267</v>
      </c>
      <c r="B128" t="s">
        <v>3319</v>
      </c>
      <c r="C128" t="s">
        <v>2642</v>
      </c>
      <c r="D128" t="s">
        <v>4111</v>
      </c>
      <c r="E128" t="s">
        <v>3051</v>
      </c>
      <c r="F128" s="1" t="str">
        <f>HYPERLINK("http://ovidsp.ovid.com/ovidweb.cgi?T=JS&amp;NEWS=n&amp;CSC=Y&amp;PAGE=booktext&amp;D=books&amp;AN=01787243$&amp;XPATH=/PG(0)&amp;EPUB=Y","http://ovidsp.ovid.com/ovidweb.cgi?T=JS&amp;NEWS=n&amp;CSC=Y&amp;PAGE=booktext&amp;D=books&amp;AN=01787243$&amp;XPATH=/PG(0)&amp;EPUB=Y")</f>
        <v>http://ovidsp.ovid.com/ovidweb.cgi?T=JS&amp;NEWS=n&amp;CSC=Y&amp;PAGE=booktext&amp;D=books&amp;AN=01787243$&amp;XPATH=/PG(0)&amp;EPUB=Y</v>
      </c>
      <c r="G128" t="s">
        <v>2139</v>
      </c>
      <c r="H128" t="s">
        <v>2974</v>
      </c>
      <c r="I128">
        <v>1206726</v>
      </c>
      <c r="J128" t="s">
        <v>3263</v>
      </c>
      <c r="K128" t="s">
        <v>4565</v>
      </c>
    </row>
    <row r="129" spans="1:11" x14ac:dyDescent="0.3">
      <c r="A129" t="s">
        <v>1119</v>
      </c>
      <c r="B129" t="s">
        <v>3852</v>
      </c>
      <c r="C129" t="s">
        <v>1920</v>
      </c>
      <c r="D129" t="s">
        <v>4111</v>
      </c>
      <c r="E129" t="s">
        <v>2223</v>
      </c>
      <c r="F129" s="1" t="str">
        <f>HYPERLINK("http://ovidsp.ovid.com/ovidweb.cgi?T=JS&amp;NEWS=n&amp;CSC=Y&amp;PAGE=booktext&amp;D=books&amp;AN=01437499$&amp;XPATH=/PG(0)&amp;EPUB=Y","http://ovidsp.ovid.com/ovidweb.cgi?T=JS&amp;NEWS=n&amp;CSC=Y&amp;PAGE=booktext&amp;D=books&amp;AN=01437499$&amp;XPATH=/PG(0)&amp;EPUB=Y")</f>
        <v>http://ovidsp.ovid.com/ovidweb.cgi?T=JS&amp;NEWS=n&amp;CSC=Y&amp;PAGE=booktext&amp;D=books&amp;AN=01437499$&amp;XPATH=/PG(0)&amp;EPUB=Y</v>
      </c>
      <c r="G129" t="s">
        <v>2139</v>
      </c>
      <c r="H129" t="s">
        <v>2974</v>
      </c>
      <c r="I129">
        <v>1206726</v>
      </c>
      <c r="J129" t="s">
        <v>3263</v>
      </c>
      <c r="K129" t="s">
        <v>3399</v>
      </c>
    </row>
    <row r="130" spans="1:11" x14ac:dyDescent="0.3">
      <c r="A130" t="s">
        <v>524</v>
      </c>
      <c r="B130" t="s">
        <v>1300</v>
      </c>
      <c r="C130" t="s">
        <v>1351</v>
      </c>
      <c r="D130" t="s">
        <v>4111</v>
      </c>
      <c r="E130" t="s">
        <v>404</v>
      </c>
      <c r="F130" s="1" t="str">
        <f>HYPERLINK("http://ovidsp.ovid.com/ovidweb.cgi?T=JS&amp;NEWS=n&amp;CSC=Y&amp;PAGE=booktext&amp;D=books&amp;AN=01436920$&amp;XPATH=/PG(0)&amp;EPUB=Y","http://ovidsp.ovid.com/ovidweb.cgi?T=JS&amp;NEWS=n&amp;CSC=Y&amp;PAGE=booktext&amp;D=books&amp;AN=01436920$&amp;XPATH=/PG(0)&amp;EPUB=Y")</f>
        <v>http://ovidsp.ovid.com/ovidweb.cgi?T=JS&amp;NEWS=n&amp;CSC=Y&amp;PAGE=booktext&amp;D=books&amp;AN=01436920$&amp;XPATH=/PG(0)&amp;EPUB=Y</v>
      </c>
      <c r="G130" t="s">
        <v>2139</v>
      </c>
      <c r="H130" t="s">
        <v>2974</v>
      </c>
      <c r="I130">
        <v>1206726</v>
      </c>
      <c r="J130" t="s">
        <v>3263</v>
      </c>
      <c r="K130" t="s">
        <v>2959</v>
      </c>
    </row>
    <row r="131" spans="1:11" x14ac:dyDescent="0.3">
      <c r="A131" t="s">
        <v>742</v>
      </c>
      <c r="B131" t="s">
        <v>60</v>
      </c>
      <c r="C131" t="s">
        <v>2069</v>
      </c>
      <c r="D131" t="s">
        <v>4111</v>
      </c>
      <c r="E131" t="s">
        <v>404</v>
      </c>
      <c r="F131" s="1" t="str">
        <f>HYPERLINK("http://ovidsp.ovid.com/ovidweb.cgi?T=JS&amp;NEWS=n&amp;CSC=Y&amp;PAGE=booktext&amp;D=books&amp;AN=01626590$&amp;XPATH=/PG(0)&amp;EPUB=Y","http://ovidsp.ovid.com/ovidweb.cgi?T=JS&amp;NEWS=n&amp;CSC=Y&amp;PAGE=booktext&amp;D=books&amp;AN=01626590$&amp;XPATH=/PG(0)&amp;EPUB=Y")</f>
        <v>http://ovidsp.ovid.com/ovidweb.cgi?T=JS&amp;NEWS=n&amp;CSC=Y&amp;PAGE=booktext&amp;D=books&amp;AN=01626590$&amp;XPATH=/PG(0)&amp;EPUB=Y</v>
      </c>
      <c r="G131" t="s">
        <v>2139</v>
      </c>
      <c r="H131" t="s">
        <v>2974</v>
      </c>
      <c r="I131">
        <v>1206726</v>
      </c>
      <c r="J131" t="s">
        <v>3263</v>
      </c>
      <c r="K131" t="s">
        <v>898</v>
      </c>
    </row>
    <row r="132" spans="1:11" x14ac:dyDescent="0.3">
      <c r="A132" t="s">
        <v>742</v>
      </c>
      <c r="B132" t="s">
        <v>3574</v>
      </c>
      <c r="C132" t="s">
        <v>3360</v>
      </c>
      <c r="D132" t="s">
        <v>4111</v>
      </c>
      <c r="E132" t="s">
        <v>2223</v>
      </c>
      <c r="F132" s="1" t="str">
        <f>HYPERLINK("http://ovidsp.ovid.com/ovidweb.cgi?T=JS&amp;NEWS=n&amp;CSC=Y&amp;PAGE=booktext&amp;D=books&amp;AN=01337255$&amp;XPATH=/PG(0)&amp;EPUB=Y","http://ovidsp.ovid.com/ovidweb.cgi?T=JS&amp;NEWS=n&amp;CSC=Y&amp;PAGE=booktext&amp;D=books&amp;AN=01337255$&amp;XPATH=/PG(0)&amp;EPUB=Y")</f>
        <v>http://ovidsp.ovid.com/ovidweb.cgi?T=JS&amp;NEWS=n&amp;CSC=Y&amp;PAGE=booktext&amp;D=books&amp;AN=01337255$&amp;XPATH=/PG(0)&amp;EPUB=Y</v>
      </c>
      <c r="G132" t="s">
        <v>2139</v>
      </c>
      <c r="H132" t="s">
        <v>2974</v>
      </c>
      <c r="I132">
        <v>1206726</v>
      </c>
      <c r="J132" t="s">
        <v>3263</v>
      </c>
      <c r="K132" t="s">
        <v>403</v>
      </c>
    </row>
    <row r="133" spans="1:11" x14ac:dyDescent="0.3">
      <c r="A133" t="s">
        <v>3860</v>
      </c>
      <c r="B133" t="s">
        <v>1734</v>
      </c>
      <c r="C133" t="s">
        <v>2828</v>
      </c>
      <c r="D133" t="s">
        <v>4111</v>
      </c>
      <c r="E133" t="s">
        <v>2223</v>
      </c>
      <c r="F133" s="1" t="str">
        <f>HYPERLINK("http://ovidsp.ovid.com/ovidweb.cgi?T=JS&amp;NEWS=n&amp;CSC=Y&amp;PAGE=booktext&amp;D=books&amp;AN=01439395$&amp;XPATH=/PG(0)&amp;EPUB=Y","http://ovidsp.ovid.com/ovidweb.cgi?T=JS&amp;NEWS=n&amp;CSC=Y&amp;PAGE=booktext&amp;D=books&amp;AN=01439395$&amp;XPATH=/PG(0)&amp;EPUB=Y")</f>
        <v>http://ovidsp.ovid.com/ovidweb.cgi?T=JS&amp;NEWS=n&amp;CSC=Y&amp;PAGE=booktext&amp;D=books&amp;AN=01439395$&amp;XPATH=/PG(0)&amp;EPUB=Y</v>
      </c>
      <c r="G133" t="s">
        <v>2139</v>
      </c>
      <c r="H133" t="s">
        <v>2974</v>
      </c>
      <c r="I133">
        <v>1206726</v>
      </c>
      <c r="J133" t="s">
        <v>3263</v>
      </c>
      <c r="K133" t="s">
        <v>2527</v>
      </c>
    </row>
    <row r="134" spans="1:11" x14ac:dyDescent="0.3">
      <c r="A134" t="s">
        <v>921</v>
      </c>
      <c r="B134" t="s">
        <v>2570</v>
      </c>
      <c r="C134" t="s">
        <v>1348</v>
      </c>
      <c r="D134" t="s">
        <v>4111</v>
      </c>
      <c r="E134" t="s">
        <v>2223</v>
      </c>
      <c r="F134" s="1" t="str">
        <f>HYPERLINK("http://ovidsp.ovid.com/ovidweb.cgi?T=JS&amp;NEWS=n&amp;CSC=Y&amp;PAGE=booktext&amp;D=books&amp;AN=01382556$&amp;XPATH=/PG(0)&amp;EPUB=Y","http://ovidsp.ovid.com/ovidweb.cgi?T=JS&amp;NEWS=n&amp;CSC=Y&amp;PAGE=booktext&amp;D=books&amp;AN=01382556$&amp;XPATH=/PG(0)&amp;EPUB=Y")</f>
        <v>http://ovidsp.ovid.com/ovidweb.cgi?T=JS&amp;NEWS=n&amp;CSC=Y&amp;PAGE=booktext&amp;D=books&amp;AN=01382556$&amp;XPATH=/PG(0)&amp;EPUB=Y</v>
      </c>
      <c r="G134" t="s">
        <v>2139</v>
      </c>
      <c r="H134" t="s">
        <v>2974</v>
      </c>
      <c r="I134">
        <v>1206726</v>
      </c>
      <c r="J134" t="s">
        <v>3263</v>
      </c>
      <c r="K134" t="s">
        <v>2220</v>
      </c>
    </row>
    <row r="135" spans="1:11" x14ac:dyDescent="0.3">
      <c r="A135" t="s">
        <v>561</v>
      </c>
      <c r="B135" t="s">
        <v>256</v>
      </c>
      <c r="C135" t="s">
        <v>3787</v>
      </c>
      <c r="D135" t="s">
        <v>4111</v>
      </c>
      <c r="E135" t="s">
        <v>404</v>
      </c>
      <c r="F135" s="1" t="str">
        <f>HYPERLINK("http://ovidsp.ovid.com/ovidweb.cgi?T=JS&amp;NEWS=n&amp;CSC=Y&amp;PAGE=booktext&amp;D=books&amp;AN=01745969$&amp;XPATH=/PG(0)&amp;EPUB=Y","http://ovidsp.ovid.com/ovidweb.cgi?T=JS&amp;NEWS=n&amp;CSC=Y&amp;PAGE=booktext&amp;D=books&amp;AN=01745969$&amp;XPATH=/PG(0)&amp;EPUB=Y")</f>
        <v>http://ovidsp.ovid.com/ovidweb.cgi?T=JS&amp;NEWS=n&amp;CSC=Y&amp;PAGE=booktext&amp;D=books&amp;AN=01745969$&amp;XPATH=/PG(0)&amp;EPUB=Y</v>
      </c>
      <c r="G135" t="s">
        <v>2139</v>
      </c>
      <c r="H135" t="s">
        <v>2974</v>
      </c>
      <c r="I135">
        <v>1206726</v>
      </c>
      <c r="J135" t="s">
        <v>3263</v>
      </c>
      <c r="K135" t="s">
        <v>585</v>
      </c>
    </row>
    <row r="136" spans="1:11" x14ac:dyDescent="0.3">
      <c r="A136" t="s">
        <v>243</v>
      </c>
      <c r="B136" t="s">
        <v>922</v>
      </c>
      <c r="C136" t="s">
        <v>1801</v>
      </c>
      <c r="D136" t="s">
        <v>4111</v>
      </c>
      <c r="E136" t="s">
        <v>404</v>
      </c>
      <c r="F136" s="1" t="str">
        <f>HYPERLINK("http://ovidsp.ovid.com/ovidweb.cgi?T=JS&amp;NEWS=n&amp;CSC=Y&amp;PAGE=booktext&amp;D=books&amp;AN=01626591$&amp;XPATH=/PG(0)&amp;EPUB=Y","http://ovidsp.ovid.com/ovidweb.cgi?T=JS&amp;NEWS=n&amp;CSC=Y&amp;PAGE=booktext&amp;D=books&amp;AN=01626591$&amp;XPATH=/PG(0)&amp;EPUB=Y")</f>
        <v>http://ovidsp.ovid.com/ovidweb.cgi?T=JS&amp;NEWS=n&amp;CSC=Y&amp;PAGE=booktext&amp;D=books&amp;AN=01626591$&amp;XPATH=/PG(0)&amp;EPUB=Y</v>
      </c>
      <c r="G136" t="s">
        <v>2139</v>
      </c>
      <c r="H136" t="s">
        <v>2974</v>
      </c>
      <c r="I136">
        <v>1206726</v>
      </c>
      <c r="J136" t="s">
        <v>3263</v>
      </c>
      <c r="K136" t="s">
        <v>1925</v>
      </c>
    </row>
    <row r="137" spans="1:11" x14ac:dyDescent="0.3">
      <c r="A137" t="s">
        <v>3368</v>
      </c>
      <c r="B137" t="s">
        <v>1320</v>
      </c>
      <c r="C137" t="s">
        <v>3884</v>
      </c>
      <c r="D137" t="s">
        <v>4111</v>
      </c>
      <c r="E137" t="s">
        <v>404</v>
      </c>
      <c r="F137" s="1" t="str">
        <f>HYPERLINK("http://ovidsp.ovid.com/ovidweb.cgi?T=JS&amp;NEWS=n&amp;CSC=Y&amp;PAGE=booktext&amp;D=books&amp;AN=01412555$&amp;XPATH=/PG(0)&amp;EPUB=Y","http://ovidsp.ovid.com/ovidweb.cgi?T=JS&amp;NEWS=n&amp;CSC=Y&amp;PAGE=booktext&amp;D=books&amp;AN=01412555$&amp;XPATH=/PG(0)&amp;EPUB=Y")</f>
        <v>http://ovidsp.ovid.com/ovidweb.cgi?T=JS&amp;NEWS=n&amp;CSC=Y&amp;PAGE=booktext&amp;D=books&amp;AN=01412555$&amp;XPATH=/PG(0)&amp;EPUB=Y</v>
      </c>
      <c r="G137" t="s">
        <v>2139</v>
      </c>
      <c r="H137" t="s">
        <v>2974</v>
      </c>
      <c r="I137">
        <v>1206726</v>
      </c>
      <c r="J137" t="s">
        <v>3263</v>
      </c>
      <c r="K137" t="s">
        <v>1945</v>
      </c>
    </row>
    <row r="138" spans="1:11" x14ac:dyDescent="0.3">
      <c r="A138" t="s">
        <v>3713</v>
      </c>
      <c r="B138" t="s">
        <v>1861</v>
      </c>
      <c r="C138" t="s">
        <v>3487</v>
      </c>
      <c r="D138" t="s">
        <v>4111</v>
      </c>
      <c r="E138" t="s">
        <v>2223</v>
      </c>
      <c r="F138" s="1" t="str">
        <f>HYPERLINK("http://ovidsp.ovid.com/ovidweb.cgi?T=JS&amp;NEWS=n&amp;CSC=Y&amp;PAGE=booktext&amp;D=books&amp;AN=01412554$&amp;XPATH=/PG(0)&amp;EPUB=Y","http://ovidsp.ovid.com/ovidweb.cgi?T=JS&amp;NEWS=n&amp;CSC=Y&amp;PAGE=booktext&amp;D=books&amp;AN=01412554$&amp;XPATH=/PG(0)&amp;EPUB=Y")</f>
        <v>http://ovidsp.ovid.com/ovidweb.cgi?T=JS&amp;NEWS=n&amp;CSC=Y&amp;PAGE=booktext&amp;D=books&amp;AN=01412554$&amp;XPATH=/PG(0)&amp;EPUB=Y</v>
      </c>
      <c r="G138" t="s">
        <v>2139</v>
      </c>
      <c r="H138" t="s">
        <v>2974</v>
      </c>
      <c r="I138">
        <v>1206726</v>
      </c>
      <c r="J138" t="s">
        <v>3263</v>
      </c>
      <c r="K138" t="s">
        <v>3516</v>
      </c>
    </row>
    <row r="139" spans="1:11" x14ac:dyDescent="0.3">
      <c r="A139" t="s">
        <v>2339</v>
      </c>
      <c r="B139" t="s">
        <v>3012</v>
      </c>
      <c r="C139" t="s">
        <v>1232</v>
      </c>
      <c r="D139" t="s">
        <v>4111</v>
      </c>
      <c r="E139" t="s">
        <v>2223</v>
      </c>
      <c r="F139" s="1" t="str">
        <f>HYPERLINK("http://ovidsp.ovid.com/ovidweb.cgi?T=JS&amp;NEWS=n&amp;CSC=Y&amp;PAGE=booktext&amp;D=books&amp;AN=01412553$&amp;XPATH=/PG(0)&amp;EPUB=Y","http://ovidsp.ovid.com/ovidweb.cgi?T=JS&amp;NEWS=n&amp;CSC=Y&amp;PAGE=booktext&amp;D=books&amp;AN=01412553$&amp;XPATH=/PG(0)&amp;EPUB=Y")</f>
        <v>http://ovidsp.ovid.com/ovidweb.cgi?T=JS&amp;NEWS=n&amp;CSC=Y&amp;PAGE=booktext&amp;D=books&amp;AN=01412553$&amp;XPATH=/PG(0)&amp;EPUB=Y</v>
      </c>
      <c r="G139" t="s">
        <v>2139</v>
      </c>
      <c r="H139" t="s">
        <v>2974</v>
      </c>
      <c r="I139">
        <v>1206726</v>
      </c>
      <c r="J139" t="s">
        <v>3263</v>
      </c>
      <c r="K139" t="s">
        <v>4638</v>
      </c>
    </row>
    <row r="140" spans="1:11" x14ac:dyDescent="0.3">
      <c r="A140" t="s">
        <v>2740</v>
      </c>
      <c r="B140" t="s">
        <v>2453</v>
      </c>
      <c r="C140" t="s">
        <v>2547</v>
      </c>
      <c r="D140" t="s">
        <v>4111</v>
      </c>
      <c r="E140" t="s">
        <v>2223</v>
      </c>
      <c r="F140" s="1" t="str">
        <f>HYPERLINK("http://ovidsp.ovid.com/ovidweb.cgi?T=JS&amp;NEWS=n&amp;CSC=Y&amp;PAGE=booktext&amp;D=books&amp;AN=01382447$&amp;XPATH=/PG(0)&amp;EPUB=Y","http://ovidsp.ovid.com/ovidweb.cgi?T=JS&amp;NEWS=n&amp;CSC=Y&amp;PAGE=booktext&amp;D=books&amp;AN=01382447$&amp;XPATH=/PG(0)&amp;EPUB=Y")</f>
        <v>http://ovidsp.ovid.com/ovidweb.cgi?T=JS&amp;NEWS=n&amp;CSC=Y&amp;PAGE=booktext&amp;D=books&amp;AN=01382447$&amp;XPATH=/PG(0)&amp;EPUB=Y</v>
      </c>
      <c r="G140" t="s">
        <v>2139</v>
      </c>
      <c r="H140" t="s">
        <v>2974</v>
      </c>
      <c r="I140">
        <v>1206726</v>
      </c>
      <c r="J140" t="s">
        <v>3263</v>
      </c>
      <c r="K140" t="s">
        <v>1539</v>
      </c>
    </row>
    <row r="141" spans="1:11" x14ac:dyDescent="0.3">
      <c r="A141" t="s">
        <v>1436</v>
      </c>
      <c r="B141" t="s">
        <v>1949</v>
      </c>
      <c r="C141" t="s">
        <v>4385</v>
      </c>
      <c r="D141" t="s">
        <v>4111</v>
      </c>
      <c r="E141" t="s">
        <v>2223</v>
      </c>
      <c r="F141" s="1" t="str">
        <f>HYPERLINK("http://ovidsp.ovid.com/ovidweb.cgi?T=JS&amp;NEWS=n&amp;CSC=Y&amp;PAGE=booktext&amp;D=books&amp;AN=01279731$&amp;XPATH=/PG(0)&amp;EPUB=Y","http://ovidsp.ovid.com/ovidweb.cgi?T=JS&amp;NEWS=n&amp;CSC=Y&amp;PAGE=booktext&amp;D=books&amp;AN=01279731$&amp;XPATH=/PG(0)&amp;EPUB=Y")</f>
        <v>http://ovidsp.ovid.com/ovidweb.cgi?T=JS&amp;NEWS=n&amp;CSC=Y&amp;PAGE=booktext&amp;D=books&amp;AN=01279731$&amp;XPATH=/PG(0)&amp;EPUB=Y</v>
      </c>
      <c r="G141" t="s">
        <v>2139</v>
      </c>
      <c r="H141" t="s">
        <v>2974</v>
      </c>
      <c r="I141">
        <v>1206726</v>
      </c>
      <c r="J141" t="s">
        <v>3263</v>
      </c>
      <c r="K141" t="s">
        <v>3998</v>
      </c>
    </row>
    <row r="142" spans="1:11" x14ac:dyDescent="0.3">
      <c r="A142" t="s">
        <v>2195</v>
      </c>
      <c r="B142" t="s">
        <v>3902</v>
      </c>
      <c r="C142" t="s">
        <v>2688</v>
      </c>
      <c r="D142" t="s">
        <v>4111</v>
      </c>
      <c r="E142" t="s">
        <v>2223</v>
      </c>
      <c r="F142" s="1" t="str">
        <f>HYPERLINK("http://ovidsp.ovid.com/ovidweb.cgi?T=JS&amp;NEWS=n&amp;CSC=Y&amp;PAGE=booktext&amp;D=books&amp;AN=01412558$&amp;XPATH=/PG(0)&amp;EPUB=Y","http://ovidsp.ovid.com/ovidweb.cgi?T=JS&amp;NEWS=n&amp;CSC=Y&amp;PAGE=booktext&amp;D=books&amp;AN=01412558$&amp;XPATH=/PG(0)&amp;EPUB=Y")</f>
        <v>http://ovidsp.ovid.com/ovidweb.cgi?T=JS&amp;NEWS=n&amp;CSC=Y&amp;PAGE=booktext&amp;D=books&amp;AN=01412558$&amp;XPATH=/PG(0)&amp;EPUB=Y</v>
      </c>
      <c r="G142" t="s">
        <v>2139</v>
      </c>
      <c r="H142" t="s">
        <v>2974</v>
      </c>
      <c r="I142">
        <v>1206726</v>
      </c>
      <c r="J142" t="s">
        <v>3263</v>
      </c>
      <c r="K142" t="s">
        <v>1544</v>
      </c>
    </row>
    <row r="143" spans="1:11" x14ac:dyDescent="0.3">
      <c r="A143" t="s">
        <v>1150</v>
      </c>
      <c r="B143" t="s">
        <v>7</v>
      </c>
      <c r="C143" t="s">
        <v>4178</v>
      </c>
      <c r="D143" t="s">
        <v>4111</v>
      </c>
      <c r="E143" t="s">
        <v>2223</v>
      </c>
      <c r="F143" s="1" t="str">
        <f>HYPERLINK("http://ovidsp.ovid.com/ovidweb.cgi?T=JS&amp;NEWS=n&amp;CSC=Y&amp;PAGE=booktext&amp;D=books&amp;AN=01382448$&amp;XPATH=/PG(0)&amp;EPUB=Y","http://ovidsp.ovid.com/ovidweb.cgi?T=JS&amp;NEWS=n&amp;CSC=Y&amp;PAGE=booktext&amp;D=books&amp;AN=01382448$&amp;XPATH=/PG(0)&amp;EPUB=Y")</f>
        <v>http://ovidsp.ovid.com/ovidweb.cgi?T=JS&amp;NEWS=n&amp;CSC=Y&amp;PAGE=booktext&amp;D=books&amp;AN=01382448$&amp;XPATH=/PG(0)&amp;EPUB=Y</v>
      </c>
      <c r="G143" t="s">
        <v>2139</v>
      </c>
      <c r="H143" t="s">
        <v>2974</v>
      </c>
      <c r="I143">
        <v>1206726</v>
      </c>
      <c r="J143" t="s">
        <v>3263</v>
      </c>
      <c r="K143" t="s">
        <v>3276</v>
      </c>
    </row>
    <row r="144" spans="1:11" x14ac:dyDescent="0.3">
      <c r="A144" t="s">
        <v>1506</v>
      </c>
      <c r="B144" t="s">
        <v>2808</v>
      </c>
      <c r="C144" t="s">
        <v>1114</v>
      </c>
      <c r="D144" t="s">
        <v>4111</v>
      </c>
      <c r="E144" t="s">
        <v>2223</v>
      </c>
      <c r="F144" s="1" t="str">
        <f>HYPERLINK("http://ovidsp.ovid.com/ovidweb.cgi?T=JS&amp;NEWS=n&amp;CSC=Y&amp;PAGE=booktext&amp;D=books&amp;AN=01437501$&amp;XPATH=/PG(0)&amp;EPUB=Y","http://ovidsp.ovid.com/ovidweb.cgi?T=JS&amp;NEWS=n&amp;CSC=Y&amp;PAGE=booktext&amp;D=books&amp;AN=01437501$&amp;XPATH=/PG(0)&amp;EPUB=Y")</f>
        <v>http://ovidsp.ovid.com/ovidweb.cgi?T=JS&amp;NEWS=n&amp;CSC=Y&amp;PAGE=booktext&amp;D=books&amp;AN=01437501$&amp;XPATH=/PG(0)&amp;EPUB=Y</v>
      </c>
      <c r="G144" t="s">
        <v>2139</v>
      </c>
      <c r="H144" t="s">
        <v>2974</v>
      </c>
      <c r="I144">
        <v>1206726</v>
      </c>
      <c r="J144" t="s">
        <v>3263</v>
      </c>
      <c r="K144" t="s">
        <v>3650</v>
      </c>
    </row>
    <row r="145" spans="1:11" x14ac:dyDescent="0.3">
      <c r="A145" t="s">
        <v>3034</v>
      </c>
      <c r="B145" t="s">
        <v>680</v>
      </c>
      <c r="C145" t="s">
        <v>3830</v>
      </c>
      <c r="D145" t="s">
        <v>4111</v>
      </c>
      <c r="E145" t="s">
        <v>3051</v>
      </c>
      <c r="F145" s="1" t="str">
        <f>HYPERLINK("http://ovidsp.ovid.com/ovidweb.cgi?T=JS&amp;NEWS=n&amp;CSC=Y&amp;PAGE=booktext&amp;D=books&amp;AN=01435373$&amp;XPATH=/PG(0)&amp;EPUB=Y","http://ovidsp.ovid.com/ovidweb.cgi?T=JS&amp;NEWS=n&amp;CSC=Y&amp;PAGE=booktext&amp;D=books&amp;AN=01435373$&amp;XPATH=/PG(0)&amp;EPUB=Y")</f>
        <v>http://ovidsp.ovid.com/ovidweb.cgi?T=JS&amp;NEWS=n&amp;CSC=Y&amp;PAGE=booktext&amp;D=books&amp;AN=01435373$&amp;XPATH=/PG(0)&amp;EPUB=Y</v>
      </c>
      <c r="G145" t="s">
        <v>2139</v>
      </c>
      <c r="H145" t="s">
        <v>2974</v>
      </c>
      <c r="I145">
        <v>1206726</v>
      </c>
      <c r="J145" t="s">
        <v>3263</v>
      </c>
      <c r="K145" t="s">
        <v>4481</v>
      </c>
    </row>
    <row r="146" spans="1:11" x14ac:dyDescent="0.3">
      <c r="A146" t="s">
        <v>3034</v>
      </c>
      <c r="B146" t="s">
        <v>2864</v>
      </c>
      <c r="C146" t="s">
        <v>3104</v>
      </c>
      <c r="D146" t="s">
        <v>4111</v>
      </c>
      <c r="E146" t="s">
        <v>1104</v>
      </c>
      <c r="F146" s="1" t="str">
        <f>HYPERLINK("http://ovidsp.ovid.com/ovidweb.cgi?T=JS&amp;NEWS=n&amp;CSC=Y&amp;PAGE=booktext&amp;D=books&amp;AN=00139875$&amp;XPATH=/PG(0)&amp;EPUB=Y","http://ovidsp.ovid.com/ovidweb.cgi?T=JS&amp;NEWS=n&amp;CSC=Y&amp;PAGE=booktext&amp;D=books&amp;AN=00139875$&amp;XPATH=/PG(0)&amp;EPUB=Y")</f>
        <v>http://ovidsp.ovid.com/ovidweb.cgi?T=JS&amp;NEWS=n&amp;CSC=Y&amp;PAGE=booktext&amp;D=books&amp;AN=00139875$&amp;XPATH=/PG(0)&amp;EPUB=Y</v>
      </c>
      <c r="G146" t="s">
        <v>2139</v>
      </c>
      <c r="H146" t="s">
        <v>2974</v>
      </c>
      <c r="I146">
        <v>1206726</v>
      </c>
      <c r="J146" t="s">
        <v>3263</v>
      </c>
      <c r="K146" t="s">
        <v>1218</v>
      </c>
    </row>
    <row r="147" spans="1:11" x14ac:dyDescent="0.3">
      <c r="A147" t="s">
        <v>2186</v>
      </c>
      <c r="B147" t="s">
        <v>4317</v>
      </c>
      <c r="C147" t="s">
        <v>2467</v>
      </c>
      <c r="D147" t="s">
        <v>4111</v>
      </c>
      <c r="E147" t="s">
        <v>2223</v>
      </c>
      <c r="F147" s="1" t="str">
        <f>HYPERLINK("http://ovidsp.ovid.com/ovidweb.cgi?T=JS&amp;NEWS=n&amp;CSC=Y&amp;PAGE=booktext&amp;D=books&amp;AN=01279732$&amp;XPATH=/PG(0)&amp;EPUB=Y","http://ovidsp.ovid.com/ovidweb.cgi?T=JS&amp;NEWS=n&amp;CSC=Y&amp;PAGE=booktext&amp;D=books&amp;AN=01279732$&amp;XPATH=/PG(0)&amp;EPUB=Y")</f>
        <v>http://ovidsp.ovid.com/ovidweb.cgi?T=JS&amp;NEWS=n&amp;CSC=Y&amp;PAGE=booktext&amp;D=books&amp;AN=01279732$&amp;XPATH=/PG(0)&amp;EPUB=Y</v>
      </c>
      <c r="G147" t="s">
        <v>2139</v>
      </c>
      <c r="H147" t="s">
        <v>2974</v>
      </c>
      <c r="I147">
        <v>1206726</v>
      </c>
      <c r="J147" t="s">
        <v>3263</v>
      </c>
      <c r="K147" t="s">
        <v>940</v>
      </c>
    </row>
    <row r="148" spans="1:11" x14ac:dyDescent="0.3">
      <c r="A148" t="s">
        <v>630</v>
      </c>
      <c r="B148" t="s">
        <v>3915</v>
      </c>
      <c r="C148" t="s">
        <v>582</v>
      </c>
      <c r="D148" t="s">
        <v>4111</v>
      </c>
      <c r="E148" t="s">
        <v>3051</v>
      </c>
      <c r="F148" s="1" t="str">
        <f>HYPERLINK("http://ovidsp.ovid.com/ovidweb.cgi?T=JS&amp;NEWS=n&amp;CSC=Y&amp;PAGE=booktext&amp;D=books&amp;AN=01437502$&amp;XPATH=/PG(0)&amp;EPUB=Y","http://ovidsp.ovid.com/ovidweb.cgi?T=JS&amp;NEWS=n&amp;CSC=Y&amp;PAGE=booktext&amp;D=books&amp;AN=01437502$&amp;XPATH=/PG(0)&amp;EPUB=Y")</f>
        <v>http://ovidsp.ovid.com/ovidweb.cgi?T=JS&amp;NEWS=n&amp;CSC=Y&amp;PAGE=booktext&amp;D=books&amp;AN=01437502$&amp;XPATH=/PG(0)&amp;EPUB=Y</v>
      </c>
      <c r="G148" t="s">
        <v>2139</v>
      </c>
      <c r="H148" t="s">
        <v>2974</v>
      </c>
      <c r="I148">
        <v>1206726</v>
      </c>
      <c r="J148" t="s">
        <v>3263</v>
      </c>
      <c r="K148" t="s">
        <v>3062</v>
      </c>
    </row>
    <row r="149" spans="1:11" x14ac:dyDescent="0.3">
      <c r="A149" t="s">
        <v>1535</v>
      </c>
      <c r="B149" t="s">
        <v>939</v>
      </c>
      <c r="C149" t="s">
        <v>484</v>
      </c>
      <c r="D149" t="s">
        <v>4111</v>
      </c>
      <c r="E149" t="s">
        <v>1104</v>
      </c>
      <c r="F149" s="1" t="str">
        <f>HYPERLINK("http://ovidsp.ovid.com/ovidweb.cgi?T=JS&amp;NEWS=n&amp;CSC=Y&amp;PAGE=booktext&amp;D=books&amp;AN=01222978$&amp;XPATH=/PG(0)&amp;EPUB=Y","http://ovidsp.ovid.com/ovidweb.cgi?T=JS&amp;NEWS=n&amp;CSC=Y&amp;PAGE=booktext&amp;D=books&amp;AN=01222978$&amp;XPATH=/PG(0)&amp;EPUB=Y")</f>
        <v>http://ovidsp.ovid.com/ovidweb.cgi?T=JS&amp;NEWS=n&amp;CSC=Y&amp;PAGE=booktext&amp;D=books&amp;AN=01222978$&amp;XPATH=/PG(0)&amp;EPUB=Y</v>
      </c>
      <c r="G149" t="s">
        <v>2139</v>
      </c>
      <c r="H149" t="s">
        <v>2974</v>
      </c>
      <c r="I149">
        <v>1206726</v>
      </c>
      <c r="J149" t="s">
        <v>3263</v>
      </c>
      <c r="K149" t="s">
        <v>4393</v>
      </c>
    </row>
    <row r="150" spans="1:11" x14ac:dyDescent="0.3">
      <c r="A150" t="s">
        <v>2097</v>
      </c>
      <c r="B150" t="s">
        <v>4598</v>
      </c>
      <c r="C150" t="s">
        <v>4624</v>
      </c>
      <c r="D150" t="s">
        <v>4111</v>
      </c>
      <c r="E150" t="s">
        <v>1104</v>
      </c>
      <c r="F150" s="1" t="str">
        <f>HYPERLINK("http://ovidsp.ovid.com/ovidweb.cgi?T=JS&amp;NEWS=n&amp;CSC=Y&amp;PAGE=booktext&amp;D=books&amp;AN=01382449$&amp;XPATH=/PG(0)&amp;EPUB=Y","http://ovidsp.ovid.com/ovidweb.cgi?T=JS&amp;NEWS=n&amp;CSC=Y&amp;PAGE=booktext&amp;D=books&amp;AN=01382449$&amp;XPATH=/PG(0)&amp;EPUB=Y")</f>
        <v>http://ovidsp.ovid.com/ovidweb.cgi?T=JS&amp;NEWS=n&amp;CSC=Y&amp;PAGE=booktext&amp;D=books&amp;AN=01382449$&amp;XPATH=/PG(0)&amp;EPUB=Y</v>
      </c>
      <c r="G150" t="s">
        <v>2139</v>
      </c>
      <c r="H150" t="s">
        <v>2974</v>
      </c>
      <c r="I150">
        <v>1206726</v>
      </c>
      <c r="J150" t="s">
        <v>3263</v>
      </c>
      <c r="K150" t="s">
        <v>2014</v>
      </c>
    </row>
    <row r="151" spans="1:11" x14ac:dyDescent="0.3">
      <c r="A151" t="s">
        <v>1652</v>
      </c>
      <c r="B151" t="s">
        <v>1929</v>
      </c>
      <c r="C151" t="s">
        <v>4435</v>
      </c>
      <c r="D151" t="s">
        <v>4111</v>
      </c>
      <c r="E151" t="s">
        <v>2223</v>
      </c>
      <c r="F151" s="1" t="str">
        <f>HYPERLINK("http://ovidsp.ovid.com/ovidweb.cgi?T=JS&amp;NEWS=n&amp;CSC=Y&amp;PAGE=booktext&amp;D=books&amp;AN=01439396$&amp;XPATH=/PG(0)&amp;EPUB=Y","http://ovidsp.ovid.com/ovidweb.cgi?T=JS&amp;NEWS=n&amp;CSC=Y&amp;PAGE=booktext&amp;D=books&amp;AN=01439396$&amp;XPATH=/PG(0)&amp;EPUB=Y")</f>
        <v>http://ovidsp.ovid.com/ovidweb.cgi?T=JS&amp;NEWS=n&amp;CSC=Y&amp;PAGE=booktext&amp;D=books&amp;AN=01439396$&amp;XPATH=/PG(0)&amp;EPUB=Y</v>
      </c>
      <c r="G151" t="s">
        <v>2139</v>
      </c>
      <c r="H151" t="s">
        <v>2974</v>
      </c>
      <c r="I151">
        <v>1206726</v>
      </c>
      <c r="J151" t="s">
        <v>3263</v>
      </c>
      <c r="K151" t="s">
        <v>3632</v>
      </c>
    </row>
    <row r="152" spans="1:11" x14ac:dyDescent="0.3">
      <c r="A152" t="s">
        <v>3136</v>
      </c>
      <c r="B152" t="s">
        <v>3118</v>
      </c>
      <c r="C152" t="s">
        <v>3052</v>
      </c>
      <c r="D152" t="s">
        <v>4111</v>
      </c>
      <c r="E152" t="s">
        <v>1104</v>
      </c>
      <c r="F152" s="1" t="str">
        <f>HYPERLINK("http://ovidsp.ovid.com/ovidweb.cgi?T=JS&amp;NEWS=n&amp;CSC=Y&amp;PAGE=booktext&amp;D=books&amp;AN=01437503$&amp;XPATH=/PG(0)&amp;EPUB=Y","http://ovidsp.ovid.com/ovidweb.cgi?T=JS&amp;NEWS=n&amp;CSC=Y&amp;PAGE=booktext&amp;D=books&amp;AN=01437503$&amp;XPATH=/PG(0)&amp;EPUB=Y")</f>
        <v>http://ovidsp.ovid.com/ovidweb.cgi?T=JS&amp;NEWS=n&amp;CSC=Y&amp;PAGE=booktext&amp;D=books&amp;AN=01437503$&amp;XPATH=/PG(0)&amp;EPUB=Y</v>
      </c>
      <c r="G152" t="s">
        <v>2139</v>
      </c>
      <c r="H152" t="s">
        <v>2974</v>
      </c>
      <c r="I152">
        <v>1206726</v>
      </c>
      <c r="J152" t="s">
        <v>3263</v>
      </c>
      <c r="K152" t="s">
        <v>692</v>
      </c>
    </row>
    <row r="153" spans="1:11" x14ac:dyDescent="0.3">
      <c r="A153" t="s">
        <v>4252</v>
      </c>
      <c r="B153" t="s">
        <v>3391</v>
      </c>
      <c r="C153" t="s">
        <v>2792</v>
      </c>
      <c r="D153" t="s">
        <v>4111</v>
      </c>
      <c r="E153" t="s">
        <v>2223</v>
      </c>
      <c r="F153" s="1" t="str">
        <f>HYPERLINK("http://ovidsp.ovid.com/ovidweb.cgi?T=JS&amp;NEWS=n&amp;CSC=Y&amp;PAGE=booktext&amp;D=books&amp;AN=01382451$&amp;XPATH=/PG(0)&amp;EPUB=Y","http://ovidsp.ovid.com/ovidweb.cgi?T=JS&amp;NEWS=n&amp;CSC=Y&amp;PAGE=booktext&amp;D=books&amp;AN=01382451$&amp;XPATH=/PG(0)&amp;EPUB=Y")</f>
        <v>http://ovidsp.ovid.com/ovidweb.cgi?T=JS&amp;NEWS=n&amp;CSC=Y&amp;PAGE=booktext&amp;D=books&amp;AN=01382451$&amp;XPATH=/PG(0)&amp;EPUB=Y</v>
      </c>
      <c r="G153" t="s">
        <v>2139</v>
      </c>
      <c r="H153" t="s">
        <v>2974</v>
      </c>
      <c r="I153">
        <v>1206726</v>
      </c>
      <c r="J153" t="s">
        <v>3263</v>
      </c>
      <c r="K153" t="s">
        <v>3248</v>
      </c>
    </row>
    <row r="154" spans="1:11" x14ac:dyDescent="0.3">
      <c r="A154" t="s">
        <v>3666</v>
      </c>
      <c r="B154" t="s">
        <v>2965</v>
      </c>
      <c r="C154" t="s">
        <v>794</v>
      </c>
      <c r="D154" t="s">
        <v>4111</v>
      </c>
      <c r="E154" t="s">
        <v>2223</v>
      </c>
      <c r="F154" s="1" t="str">
        <f>HYPERLINK("http://ovidsp.ovid.com/ovidweb.cgi?T=JS&amp;NEWS=n&amp;CSC=Y&amp;PAGE=booktext&amp;D=books&amp;AN=01382879$&amp;XPATH=/PG(0)&amp;EPUB=Y","http://ovidsp.ovid.com/ovidweb.cgi?T=JS&amp;NEWS=n&amp;CSC=Y&amp;PAGE=booktext&amp;D=books&amp;AN=01382879$&amp;XPATH=/PG(0)&amp;EPUB=Y")</f>
        <v>http://ovidsp.ovid.com/ovidweb.cgi?T=JS&amp;NEWS=n&amp;CSC=Y&amp;PAGE=booktext&amp;D=books&amp;AN=01382879$&amp;XPATH=/PG(0)&amp;EPUB=Y</v>
      </c>
      <c r="G154" t="s">
        <v>2139</v>
      </c>
      <c r="H154" t="s">
        <v>2974</v>
      </c>
      <c r="I154">
        <v>1206726</v>
      </c>
      <c r="J154" t="s">
        <v>3263</v>
      </c>
      <c r="K154" t="s">
        <v>2687</v>
      </c>
    </row>
    <row r="155" spans="1:11" x14ac:dyDescent="0.3">
      <c r="A155" t="s">
        <v>2741</v>
      </c>
      <c r="B155" t="s">
        <v>4316</v>
      </c>
      <c r="C155" t="s">
        <v>1012</v>
      </c>
      <c r="D155" t="s">
        <v>4111</v>
      </c>
      <c r="E155" t="s">
        <v>2223</v>
      </c>
      <c r="F155" s="1" t="str">
        <f>HYPERLINK("http://ovidsp.ovid.com/ovidweb.cgi?T=JS&amp;NEWS=n&amp;CSC=Y&amp;PAGE=booktext&amp;D=books&amp;AN=01256994$&amp;XPATH=/PG(0)&amp;EPUB=Y","http://ovidsp.ovid.com/ovidweb.cgi?T=JS&amp;NEWS=n&amp;CSC=Y&amp;PAGE=booktext&amp;D=books&amp;AN=01256994$&amp;XPATH=/PG(0)&amp;EPUB=Y")</f>
        <v>http://ovidsp.ovid.com/ovidweb.cgi?T=JS&amp;NEWS=n&amp;CSC=Y&amp;PAGE=booktext&amp;D=books&amp;AN=01256994$&amp;XPATH=/PG(0)&amp;EPUB=Y</v>
      </c>
      <c r="G155" t="s">
        <v>2139</v>
      </c>
      <c r="H155" t="s">
        <v>2974</v>
      </c>
      <c r="I155">
        <v>1206726</v>
      </c>
      <c r="J155" t="s">
        <v>3263</v>
      </c>
      <c r="K155" t="s">
        <v>3850</v>
      </c>
    </row>
    <row r="156" spans="1:11" x14ac:dyDescent="0.3">
      <c r="A156" t="s">
        <v>3608</v>
      </c>
      <c r="B156" t="s">
        <v>4521</v>
      </c>
      <c r="C156" t="s">
        <v>1288</v>
      </c>
      <c r="D156" t="s">
        <v>4111</v>
      </c>
      <c r="E156" t="s">
        <v>3051</v>
      </c>
      <c r="F156" s="1" t="str">
        <f>HYPERLINK("http://ovidsp.ovid.com/ovidweb.cgi?T=JS&amp;NEWS=n&amp;CSC=Y&amp;PAGE=booktext&amp;D=books&amp;AN=00139876$&amp;XPATH=/PG(0)&amp;EPUB=Y","http://ovidsp.ovid.com/ovidweb.cgi?T=JS&amp;NEWS=n&amp;CSC=Y&amp;PAGE=booktext&amp;D=books&amp;AN=00139876$&amp;XPATH=/PG(0)&amp;EPUB=Y")</f>
        <v>http://ovidsp.ovid.com/ovidweb.cgi?T=JS&amp;NEWS=n&amp;CSC=Y&amp;PAGE=booktext&amp;D=books&amp;AN=00139876$&amp;XPATH=/PG(0)&amp;EPUB=Y</v>
      </c>
      <c r="G156" t="s">
        <v>2139</v>
      </c>
      <c r="H156" t="s">
        <v>2974</v>
      </c>
      <c r="I156">
        <v>1206726</v>
      </c>
      <c r="J156" t="s">
        <v>3263</v>
      </c>
      <c r="K156" t="s">
        <v>3511</v>
      </c>
    </row>
    <row r="157" spans="1:11" x14ac:dyDescent="0.3">
      <c r="A157" t="s">
        <v>3350</v>
      </c>
      <c r="B157" t="s">
        <v>2090</v>
      </c>
      <c r="C157" t="s">
        <v>501</v>
      </c>
      <c r="D157" t="s">
        <v>4111</v>
      </c>
      <c r="E157" t="s">
        <v>2876</v>
      </c>
      <c r="F157" s="1" t="str">
        <f>HYPERLINK("http://ovidsp.ovid.com/ovidweb.cgi?T=JS&amp;NEWS=n&amp;CSC=Y&amp;PAGE=booktext&amp;D=books&amp;AN=01437504$&amp;XPATH=/PG(0)&amp;EPUB=Y","http://ovidsp.ovid.com/ovidweb.cgi?T=JS&amp;NEWS=n&amp;CSC=Y&amp;PAGE=booktext&amp;D=books&amp;AN=01437504$&amp;XPATH=/PG(0)&amp;EPUB=Y")</f>
        <v>http://ovidsp.ovid.com/ovidweb.cgi?T=JS&amp;NEWS=n&amp;CSC=Y&amp;PAGE=booktext&amp;D=books&amp;AN=01437504$&amp;XPATH=/PG(0)&amp;EPUB=Y</v>
      </c>
      <c r="G157" t="s">
        <v>2139</v>
      </c>
      <c r="H157" t="s">
        <v>2974</v>
      </c>
      <c r="I157">
        <v>1206726</v>
      </c>
      <c r="J157" t="s">
        <v>3263</v>
      </c>
      <c r="K157" t="s">
        <v>597</v>
      </c>
    </row>
    <row r="158" spans="1:11" x14ac:dyDescent="0.3">
      <c r="A158" t="s">
        <v>3096</v>
      </c>
      <c r="B158" t="s">
        <v>3980</v>
      </c>
      <c r="C158" t="s">
        <v>3188</v>
      </c>
      <c r="D158" t="s">
        <v>4111</v>
      </c>
      <c r="E158" t="s">
        <v>404</v>
      </c>
      <c r="F158" s="1" t="str">
        <f>HYPERLINK("http://ovidsp.ovid.com/ovidweb.cgi?T=JS&amp;NEWS=n&amp;CSC=Y&amp;PAGE=booktext&amp;D=books&amp;AN=01382453$&amp;XPATH=/PG(0)&amp;EPUB=Y","http://ovidsp.ovid.com/ovidweb.cgi?T=JS&amp;NEWS=n&amp;CSC=Y&amp;PAGE=booktext&amp;D=books&amp;AN=01382453$&amp;XPATH=/PG(0)&amp;EPUB=Y")</f>
        <v>http://ovidsp.ovid.com/ovidweb.cgi?T=JS&amp;NEWS=n&amp;CSC=Y&amp;PAGE=booktext&amp;D=books&amp;AN=01382453$&amp;XPATH=/PG(0)&amp;EPUB=Y</v>
      </c>
      <c r="G158" t="s">
        <v>2139</v>
      </c>
      <c r="H158" t="s">
        <v>2974</v>
      </c>
      <c r="I158">
        <v>1206726</v>
      </c>
      <c r="J158" t="s">
        <v>3263</v>
      </c>
      <c r="K158" t="s">
        <v>3984</v>
      </c>
    </row>
    <row r="159" spans="1:11" x14ac:dyDescent="0.3">
      <c r="A159" t="s">
        <v>2658</v>
      </c>
      <c r="B159" t="s">
        <v>943</v>
      </c>
      <c r="C159" t="s">
        <v>2614</v>
      </c>
      <c r="D159" t="s">
        <v>4111</v>
      </c>
      <c r="E159" t="s">
        <v>2223</v>
      </c>
      <c r="F159" s="1" t="str">
        <f>HYPERLINK("http://ovidsp.ovid.com/ovidweb.cgi?T=JS&amp;NEWS=n&amp;CSC=Y&amp;PAGE=booktext&amp;D=books&amp;AN=01437407$&amp;XPATH=/PG(0)&amp;EPUB=Y","http://ovidsp.ovid.com/ovidweb.cgi?T=JS&amp;NEWS=n&amp;CSC=Y&amp;PAGE=booktext&amp;D=books&amp;AN=01437407$&amp;XPATH=/PG(0)&amp;EPUB=Y")</f>
        <v>http://ovidsp.ovid.com/ovidweb.cgi?T=JS&amp;NEWS=n&amp;CSC=Y&amp;PAGE=booktext&amp;D=books&amp;AN=01437407$&amp;XPATH=/PG(0)&amp;EPUB=Y</v>
      </c>
      <c r="G159" t="s">
        <v>2139</v>
      </c>
      <c r="H159" t="s">
        <v>2974</v>
      </c>
      <c r="I159">
        <v>1206726</v>
      </c>
      <c r="J159" t="s">
        <v>3263</v>
      </c>
      <c r="K159" t="s">
        <v>3488</v>
      </c>
    </row>
    <row r="160" spans="1:11" x14ac:dyDescent="0.3">
      <c r="A160" t="s">
        <v>1963</v>
      </c>
      <c r="B160" t="s">
        <v>631</v>
      </c>
      <c r="C160" t="s">
        <v>2984</v>
      </c>
      <c r="D160" t="s">
        <v>4111</v>
      </c>
      <c r="E160" t="s">
        <v>2223</v>
      </c>
      <c r="F160" s="1" t="str">
        <f>HYPERLINK("http://ovidsp.ovid.com/ovidweb.cgi?T=JS&amp;NEWS=n&amp;CSC=Y&amp;PAGE=booktext&amp;D=books&amp;AN=01439420$&amp;XPATH=/PG(0)&amp;EPUB=Y","http://ovidsp.ovid.com/ovidweb.cgi?T=JS&amp;NEWS=n&amp;CSC=Y&amp;PAGE=booktext&amp;D=books&amp;AN=01439420$&amp;XPATH=/PG(0)&amp;EPUB=Y")</f>
        <v>http://ovidsp.ovid.com/ovidweb.cgi?T=JS&amp;NEWS=n&amp;CSC=Y&amp;PAGE=booktext&amp;D=books&amp;AN=01439420$&amp;XPATH=/PG(0)&amp;EPUB=Y</v>
      </c>
      <c r="G160" t="s">
        <v>2139</v>
      </c>
      <c r="H160" t="s">
        <v>2974</v>
      </c>
      <c r="I160">
        <v>1206726</v>
      </c>
      <c r="J160" t="s">
        <v>3263</v>
      </c>
      <c r="K160" t="s">
        <v>2819</v>
      </c>
    </row>
    <row r="161" spans="1:11" x14ac:dyDescent="0.3">
      <c r="A161" t="s">
        <v>4211</v>
      </c>
      <c r="B161" t="s">
        <v>3742</v>
      </c>
      <c r="C161" t="s">
        <v>1992</v>
      </c>
      <c r="D161" t="s">
        <v>4111</v>
      </c>
      <c r="E161" t="s">
        <v>1595</v>
      </c>
      <c r="F161" s="1" t="str">
        <f>HYPERLINK("http://ovidsp.ovid.com/ovidweb.cgi?T=JS&amp;NEWS=n&amp;CSC=Y&amp;PAGE=booktext&amp;D=books&amp;AN=00139877$&amp;XPATH=/PG(0)&amp;EPUB=Y","http://ovidsp.ovid.com/ovidweb.cgi?T=JS&amp;NEWS=n&amp;CSC=Y&amp;PAGE=booktext&amp;D=books&amp;AN=00139877$&amp;XPATH=/PG(0)&amp;EPUB=Y")</f>
        <v>http://ovidsp.ovid.com/ovidweb.cgi?T=JS&amp;NEWS=n&amp;CSC=Y&amp;PAGE=booktext&amp;D=books&amp;AN=00139877$&amp;XPATH=/PG(0)&amp;EPUB=Y</v>
      </c>
      <c r="G161" t="s">
        <v>2139</v>
      </c>
      <c r="H161" t="s">
        <v>2974</v>
      </c>
      <c r="I161">
        <v>1206726</v>
      </c>
      <c r="J161" t="s">
        <v>3263</v>
      </c>
      <c r="K161" t="s">
        <v>2782</v>
      </c>
    </row>
    <row r="162" spans="1:11" x14ac:dyDescent="0.3">
      <c r="A162" t="s">
        <v>4718</v>
      </c>
      <c r="B162" t="s">
        <v>3169</v>
      </c>
      <c r="C162" t="s">
        <v>3963</v>
      </c>
      <c r="D162" t="s">
        <v>4111</v>
      </c>
      <c r="E162" t="s">
        <v>2876</v>
      </c>
      <c r="F162" s="1" t="str">
        <f>HYPERLINK("http://ovidsp.ovid.com/ovidweb.cgi?T=JS&amp;NEWS=n&amp;CSC=Y&amp;PAGE=booktext&amp;D=books&amp;AN=00139878$&amp;XPATH=/PG(0)&amp;EPUB=Y","http://ovidsp.ovid.com/ovidweb.cgi?T=JS&amp;NEWS=n&amp;CSC=Y&amp;PAGE=booktext&amp;D=books&amp;AN=00139878$&amp;XPATH=/PG(0)&amp;EPUB=Y")</f>
        <v>http://ovidsp.ovid.com/ovidweb.cgi?T=JS&amp;NEWS=n&amp;CSC=Y&amp;PAGE=booktext&amp;D=books&amp;AN=00139878$&amp;XPATH=/PG(0)&amp;EPUB=Y</v>
      </c>
      <c r="G162" t="s">
        <v>2139</v>
      </c>
      <c r="H162" t="s">
        <v>2974</v>
      </c>
      <c r="I162">
        <v>1206726</v>
      </c>
      <c r="J162" t="s">
        <v>3263</v>
      </c>
      <c r="K162" t="s">
        <v>331</v>
      </c>
    </row>
    <row r="163" spans="1:11" x14ac:dyDescent="0.3">
      <c r="A163" t="s">
        <v>257</v>
      </c>
      <c r="B163" t="s">
        <v>3714</v>
      </c>
      <c r="C163" t="s">
        <v>4386</v>
      </c>
      <c r="D163" t="s">
        <v>4111</v>
      </c>
      <c r="E163" t="s">
        <v>2223</v>
      </c>
      <c r="F163" s="1" t="str">
        <f>HYPERLINK("http://ovidsp.ovid.com/ovidweb.cgi?T=JS&amp;NEWS=n&amp;CSC=Y&amp;PAGE=booktext&amp;D=books&amp;AN=01429410$&amp;XPATH=/PG(0)&amp;EPUB=Y","http://ovidsp.ovid.com/ovidweb.cgi?T=JS&amp;NEWS=n&amp;CSC=Y&amp;PAGE=booktext&amp;D=books&amp;AN=01429410$&amp;XPATH=/PG(0)&amp;EPUB=Y")</f>
        <v>http://ovidsp.ovid.com/ovidweb.cgi?T=JS&amp;NEWS=n&amp;CSC=Y&amp;PAGE=booktext&amp;D=books&amp;AN=01429410$&amp;XPATH=/PG(0)&amp;EPUB=Y</v>
      </c>
      <c r="G163" t="s">
        <v>2139</v>
      </c>
      <c r="H163" t="s">
        <v>2974</v>
      </c>
      <c r="I163">
        <v>1206726</v>
      </c>
      <c r="J163" t="s">
        <v>3263</v>
      </c>
      <c r="K163" t="s">
        <v>4517</v>
      </c>
    </row>
    <row r="164" spans="1:11" x14ac:dyDescent="0.3">
      <c r="A164" t="s">
        <v>217</v>
      </c>
      <c r="B164" t="s">
        <v>405</v>
      </c>
      <c r="C164" t="s">
        <v>4331</v>
      </c>
      <c r="D164" t="s">
        <v>4111</v>
      </c>
      <c r="E164" t="s">
        <v>3051</v>
      </c>
      <c r="F164" s="1" t="str">
        <f>HYPERLINK("http://ovidsp.ovid.com/ovidweb.cgi?T=JS&amp;NEWS=n&amp;CSC=Y&amp;PAGE=booktext&amp;D=books&amp;AN=01382454$&amp;XPATH=/PG(0)&amp;EPUB=Y","http://ovidsp.ovid.com/ovidweb.cgi?T=JS&amp;NEWS=n&amp;CSC=Y&amp;PAGE=booktext&amp;D=books&amp;AN=01382454$&amp;XPATH=/PG(0)&amp;EPUB=Y")</f>
        <v>http://ovidsp.ovid.com/ovidweb.cgi?T=JS&amp;NEWS=n&amp;CSC=Y&amp;PAGE=booktext&amp;D=books&amp;AN=01382454$&amp;XPATH=/PG(0)&amp;EPUB=Y</v>
      </c>
      <c r="G164" t="s">
        <v>2139</v>
      </c>
      <c r="H164" t="s">
        <v>2974</v>
      </c>
      <c r="I164">
        <v>1206726</v>
      </c>
      <c r="J164" t="s">
        <v>3263</v>
      </c>
      <c r="K164" t="s">
        <v>4562</v>
      </c>
    </row>
    <row r="165" spans="1:11" x14ac:dyDescent="0.3">
      <c r="A165" t="s">
        <v>3566</v>
      </c>
      <c r="B165" t="s">
        <v>441</v>
      </c>
      <c r="C165" t="s">
        <v>2484</v>
      </c>
      <c r="D165" t="s">
        <v>4111</v>
      </c>
      <c r="E165" t="s">
        <v>1104</v>
      </c>
      <c r="F165" s="1" t="str">
        <f>HYPERLINK("http://ovidsp.ovid.com/ovidweb.cgi?T=JS&amp;NEWS=n&amp;CSC=Y&amp;PAGE=booktext&amp;D=books&amp;AN=01382455$&amp;XPATH=/PG(0)&amp;EPUB=Y","http://ovidsp.ovid.com/ovidweb.cgi?T=JS&amp;NEWS=n&amp;CSC=Y&amp;PAGE=booktext&amp;D=books&amp;AN=01382455$&amp;XPATH=/PG(0)&amp;EPUB=Y")</f>
        <v>http://ovidsp.ovid.com/ovidweb.cgi?T=JS&amp;NEWS=n&amp;CSC=Y&amp;PAGE=booktext&amp;D=books&amp;AN=01382455$&amp;XPATH=/PG(0)&amp;EPUB=Y</v>
      </c>
      <c r="G165" t="s">
        <v>2139</v>
      </c>
      <c r="H165" t="s">
        <v>2974</v>
      </c>
      <c r="I165">
        <v>1206726</v>
      </c>
      <c r="J165" t="s">
        <v>3263</v>
      </c>
      <c r="K165" t="s">
        <v>1505</v>
      </c>
    </row>
    <row r="166" spans="1:11" x14ac:dyDescent="0.3">
      <c r="A166" t="s">
        <v>3746</v>
      </c>
      <c r="B166" t="s">
        <v>3719</v>
      </c>
      <c r="C166" t="s">
        <v>2626</v>
      </c>
      <c r="D166" t="s">
        <v>4111</v>
      </c>
      <c r="E166" t="s">
        <v>404</v>
      </c>
      <c r="F166" s="1" t="str">
        <f>HYPERLINK("http://ovidsp.ovid.com/ovidweb.cgi?T=JS&amp;NEWS=n&amp;CSC=Y&amp;PAGE=booktext&amp;D=books&amp;AN=01382725$&amp;XPATH=/PG(0)&amp;EPUB=Y","http://ovidsp.ovid.com/ovidweb.cgi?T=JS&amp;NEWS=n&amp;CSC=Y&amp;PAGE=booktext&amp;D=books&amp;AN=01382725$&amp;XPATH=/PG(0)&amp;EPUB=Y")</f>
        <v>http://ovidsp.ovid.com/ovidweb.cgi?T=JS&amp;NEWS=n&amp;CSC=Y&amp;PAGE=booktext&amp;D=books&amp;AN=01382725$&amp;XPATH=/PG(0)&amp;EPUB=Y</v>
      </c>
      <c r="G166" t="s">
        <v>2139</v>
      </c>
      <c r="H166" t="s">
        <v>2974</v>
      </c>
      <c r="I166">
        <v>1206726</v>
      </c>
      <c r="J166" t="s">
        <v>3263</v>
      </c>
      <c r="K166" t="s">
        <v>189</v>
      </c>
    </row>
    <row r="167" spans="1:11" x14ac:dyDescent="0.3">
      <c r="A167" t="s">
        <v>2785</v>
      </c>
      <c r="B167" t="s">
        <v>390</v>
      </c>
      <c r="C167" t="s">
        <v>3198</v>
      </c>
      <c r="D167" t="s">
        <v>4111</v>
      </c>
      <c r="E167" t="s">
        <v>404</v>
      </c>
      <c r="F167" s="1" t="str">
        <f>HYPERLINK("http://ovidsp.ovid.com/ovidweb.cgi?T=JS&amp;NEWS=n&amp;CSC=Y&amp;PAGE=booktext&amp;D=books&amp;AN=01437413$&amp;XPATH=/PG(0)&amp;EPUB=Y","http://ovidsp.ovid.com/ovidweb.cgi?T=JS&amp;NEWS=n&amp;CSC=Y&amp;PAGE=booktext&amp;D=books&amp;AN=01437413$&amp;XPATH=/PG(0)&amp;EPUB=Y")</f>
        <v>http://ovidsp.ovid.com/ovidweb.cgi?T=JS&amp;NEWS=n&amp;CSC=Y&amp;PAGE=booktext&amp;D=books&amp;AN=01437413$&amp;XPATH=/PG(0)&amp;EPUB=Y</v>
      </c>
      <c r="G167" t="s">
        <v>2139</v>
      </c>
      <c r="H167" t="s">
        <v>2974</v>
      </c>
      <c r="I167">
        <v>1206726</v>
      </c>
      <c r="J167" t="s">
        <v>3263</v>
      </c>
      <c r="K167" t="s">
        <v>2811</v>
      </c>
    </row>
    <row r="168" spans="1:11" x14ac:dyDescent="0.3">
      <c r="A168" t="s">
        <v>4599</v>
      </c>
      <c r="B168" t="s">
        <v>1743</v>
      </c>
      <c r="C168" t="s">
        <v>1043</v>
      </c>
      <c r="D168" t="s">
        <v>4111</v>
      </c>
      <c r="E168" t="s">
        <v>2223</v>
      </c>
      <c r="F168" s="1" t="str">
        <f>HYPERLINK("http://ovidsp.ovid.com/ovidweb.cgi?T=JS&amp;NEWS=n&amp;CSC=Y&amp;PAGE=booktext&amp;D=books&amp;AN=01382456$&amp;XPATH=/PG(0)&amp;EPUB=Y","http://ovidsp.ovid.com/ovidweb.cgi?T=JS&amp;NEWS=n&amp;CSC=Y&amp;PAGE=booktext&amp;D=books&amp;AN=01382456$&amp;XPATH=/PG(0)&amp;EPUB=Y")</f>
        <v>http://ovidsp.ovid.com/ovidweb.cgi?T=JS&amp;NEWS=n&amp;CSC=Y&amp;PAGE=booktext&amp;D=books&amp;AN=01382456$&amp;XPATH=/PG(0)&amp;EPUB=Y</v>
      </c>
      <c r="G168" t="s">
        <v>2139</v>
      </c>
      <c r="H168" t="s">
        <v>2974</v>
      </c>
      <c r="I168">
        <v>1206726</v>
      </c>
      <c r="J168" t="s">
        <v>3263</v>
      </c>
      <c r="K168" t="s">
        <v>65</v>
      </c>
    </row>
    <row r="169" spans="1:11" x14ac:dyDescent="0.3">
      <c r="A169" t="s">
        <v>1611</v>
      </c>
      <c r="B169" t="s">
        <v>1248</v>
      </c>
      <c r="C169" t="s">
        <v>1275</v>
      </c>
      <c r="D169" t="s">
        <v>4111</v>
      </c>
      <c r="E169" t="s">
        <v>2223</v>
      </c>
      <c r="F169" s="1" t="str">
        <f>HYPERLINK("http://ovidsp.ovid.com/ovidweb.cgi?T=JS&amp;NEWS=n&amp;CSC=Y&amp;PAGE=booktext&amp;D=books&amp;AN=01382457$&amp;XPATH=/PG(0)&amp;EPUB=Y","http://ovidsp.ovid.com/ovidweb.cgi?T=JS&amp;NEWS=n&amp;CSC=Y&amp;PAGE=booktext&amp;D=books&amp;AN=01382457$&amp;XPATH=/PG(0)&amp;EPUB=Y")</f>
        <v>http://ovidsp.ovid.com/ovidweb.cgi?T=JS&amp;NEWS=n&amp;CSC=Y&amp;PAGE=booktext&amp;D=books&amp;AN=01382457$&amp;XPATH=/PG(0)&amp;EPUB=Y</v>
      </c>
      <c r="G169" t="s">
        <v>2139</v>
      </c>
      <c r="H169" t="s">
        <v>2974</v>
      </c>
      <c r="I169">
        <v>1206726</v>
      </c>
      <c r="J169" t="s">
        <v>3263</v>
      </c>
      <c r="K169" t="s">
        <v>1302</v>
      </c>
    </row>
    <row r="170" spans="1:11" x14ac:dyDescent="0.3">
      <c r="A170" t="s">
        <v>1281</v>
      </c>
      <c r="B170" t="s">
        <v>3662</v>
      </c>
      <c r="C170" t="s">
        <v>496</v>
      </c>
      <c r="D170" t="s">
        <v>4111</v>
      </c>
      <c r="E170" t="s">
        <v>2223</v>
      </c>
      <c r="F170" s="1" t="str">
        <f>HYPERLINK("http://ovidsp.ovid.com/ovidweb.cgi?T=JS&amp;NEWS=n&amp;CSC=Y&amp;PAGE=booktext&amp;D=books&amp;AN=01382468$&amp;XPATH=/PG(0)&amp;EPUB=Y","http://ovidsp.ovid.com/ovidweb.cgi?T=JS&amp;NEWS=n&amp;CSC=Y&amp;PAGE=booktext&amp;D=books&amp;AN=01382468$&amp;XPATH=/PG(0)&amp;EPUB=Y")</f>
        <v>http://ovidsp.ovid.com/ovidweb.cgi?T=JS&amp;NEWS=n&amp;CSC=Y&amp;PAGE=booktext&amp;D=books&amp;AN=01382468$&amp;XPATH=/PG(0)&amp;EPUB=Y</v>
      </c>
      <c r="G170" t="s">
        <v>2139</v>
      </c>
      <c r="H170" t="s">
        <v>2974</v>
      </c>
      <c r="I170">
        <v>1206726</v>
      </c>
      <c r="J170" t="s">
        <v>3263</v>
      </c>
      <c r="K170" t="s">
        <v>2222</v>
      </c>
    </row>
    <row r="171" spans="1:11" x14ac:dyDescent="0.3">
      <c r="A171" t="s">
        <v>4158</v>
      </c>
      <c r="B171" t="s">
        <v>3644</v>
      </c>
      <c r="C171" t="s">
        <v>4426</v>
      </c>
      <c r="D171" t="s">
        <v>4111</v>
      </c>
      <c r="E171" t="s">
        <v>2223</v>
      </c>
      <c r="F171" s="1" t="str">
        <f>HYPERLINK("http://ovidsp.ovid.com/ovidweb.cgi?T=JS&amp;NEWS=n&amp;CSC=Y&amp;PAGE=booktext&amp;D=books&amp;AN=01382458$&amp;XPATH=/PG(0)&amp;EPUB=Y","http://ovidsp.ovid.com/ovidweb.cgi?T=JS&amp;NEWS=n&amp;CSC=Y&amp;PAGE=booktext&amp;D=books&amp;AN=01382458$&amp;XPATH=/PG(0)&amp;EPUB=Y")</f>
        <v>http://ovidsp.ovid.com/ovidweb.cgi?T=JS&amp;NEWS=n&amp;CSC=Y&amp;PAGE=booktext&amp;D=books&amp;AN=01382458$&amp;XPATH=/PG(0)&amp;EPUB=Y</v>
      </c>
      <c r="G171" t="s">
        <v>2139</v>
      </c>
      <c r="H171" t="s">
        <v>2974</v>
      </c>
      <c r="I171">
        <v>1206726</v>
      </c>
      <c r="J171" t="s">
        <v>3263</v>
      </c>
      <c r="K171" t="s">
        <v>332</v>
      </c>
    </row>
    <row r="172" spans="1:11" x14ac:dyDescent="0.3">
      <c r="A172" t="s">
        <v>2912</v>
      </c>
      <c r="B172" t="s">
        <v>826</v>
      </c>
      <c r="C172" t="s">
        <v>1788</v>
      </c>
      <c r="D172" t="s">
        <v>4111</v>
      </c>
      <c r="E172" t="s">
        <v>2223</v>
      </c>
      <c r="F172" s="1" t="str">
        <f>HYPERLINK("http://ovidsp.ovid.com/ovidweb.cgi?T=JS&amp;NEWS=n&amp;CSC=Y&amp;PAGE=booktext&amp;D=books&amp;AN=01434796$&amp;XPATH=/PG(0)&amp;EPUB=Y","http://ovidsp.ovid.com/ovidweb.cgi?T=JS&amp;NEWS=n&amp;CSC=Y&amp;PAGE=booktext&amp;D=books&amp;AN=01434796$&amp;XPATH=/PG(0)&amp;EPUB=Y")</f>
        <v>http://ovidsp.ovid.com/ovidweb.cgi?T=JS&amp;NEWS=n&amp;CSC=Y&amp;PAGE=booktext&amp;D=books&amp;AN=01434796$&amp;XPATH=/PG(0)&amp;EPUB=Y</v>
      </c>
      <c r="G172" t="s">
        <v>2139</v>
      </c>
      <c r="H172" t="s">
        <v>2974</v>
      </c>
      <c r="I172">
        <v>1206726</v>
      </c>
      <c r="J172" t="s">
        <v>3263</v>
      </c>
      <c r="K172" t="s">
        <v>2085</v>
      </c>
    </row>
    <row r="173" spans="1:11" x14ac:dyDescent="0.3">
      <c r="A173" t="s">
        <v>3485</v>
      </c>
      <c r="B173" t="s">
        <v>4706</v>
      </c>
      <c r="C173" t="s">
        <v>1338</v>
      </c>
      <c r="D173" t="s">
        <v>4111</v>
      </c>
      <c r="E173" t="s">
        <v>404</v>
      </c>
      <c r="F173" s="1" t="str">
        <f>HYPERLINK("http://ovidsp.ovid.com/ovidweb.cgi?T=JS&amp;NEWS=n&amp;CSC=Y&amp;PAGE=booktext&amp;D=books&amp;AN=01382460$&amp;XPATH=/PG(0)&amp;EPUB=Y","http://ovidsp.ovid.com/ovidweb.cgi?T=JS&amp;NEWS=n&amp;CSC=Y&amp;PAGE=booktext&amp;D=books&amp;AN=01382460$&amp;XPATH=/PG(0)&amp;EPUB=Y")</f>
        <v>http://ovidsp.ovid.com/ovidweb.cgi?T=JS&amp;NEWS=n&amp;CSC=Y&amp;PAGE=booktext&amp;D=books&amp;AN=01382460$&amp;XPATH=/PG(0)&amp;EPUB=Y</v>
      </c>
      <c r="G173" t="s">
        <v>2139</v>
      </c>
      <c r="H173" t="s">
        <v>2974</v>
      </c>
      <c r="I173">
        <v>1206726</v>
      </c>
      <c r="J173" t="s">
        <v>3263</v>
      </c>
      <c r="K173" t="s">
        <v>158</v>
      </c>
    </row>
    <row r="174" spans="1:11" x14ac:dyDescent="0.3">
      <c r="A174" t="s">
        <v>1836</v>
      </c>
      <c r="B174" t="s">
        <v>3176</v>
      </c>
      <c r="C174" t="s">
        <v>1911</v>
      </c>
      <c r="D174" t="s">
        <v>4111</v>
      </c>
      <c r="E174" t="s">
        <v>3051</v>
      </c>
      <c r="F174" s="1" t="str">
        <f>HYPERLINK("http://ovidsp.ovid.com/ovidweb.cgi?T=JS&amp;NEWS=n&amp;CSC=Y&amp;PAGE=booktext&amp;D=books&amp;AN=01382459$&amp;XPATH=/PG(0)&amp;EPUB=Y","http://ovidsp.ovid.com/ovidweb.cgi?T=JS&amp;NEWS=n&amp;CSC=Y&amp;PAGE=booktext&amp;D=books&amp;AN=01382459$&amp;XPATH=/PG(0)&amp;EPUB=Y")</f>
        <v>http://ovidsp.ovid.com/ovidweb.cgi?T=JS&amp;NEWS=n&amp;CSC=Y&amp;PAGE=booktext&amp;D=books&amp;AN=01382459$&amp;XPATH=/PG(0)&amp;EPUB=Y</v>
      </c>
      <c r="G174" t="s">
        <v>2139</v>
      </c>
      <c r="H174" t="s">
        <v>2974</v>
      </c>
      <c r="I174">
        <v>1206726</v>
      </c>
      <c r="J174" t="s">
        <v>3263</v>
      </c>
      <c r="K174" t="s">
        <v>4048</v>
      </c>
    </row>
    <row r="175" spans="1:11" x14ac:dyDescent="0.3">
      <c r="A175" t="s">
        <v>96</v>
      </c>
      <c r="B175" t="s">
        <v>2196</v>
      </c>
      <c r="C175" t="s">
        <v>3281</v>
      </c>
      <c r="D175" t="s">
        <v>4111</v>
      </c>
      <c r="E175" t="s">
        <v>1104</v>
      </c>
      <c r="F175" s="1" t="str">
        <f>HYPERLINK("http://ovidsp.ovid.com/ovidweb.cgi?T=JS&amp;NEWS=n&amp;CSC=Y&amp;PAGE=booktext&amp;D=books&amp;AN=00139880$&amp;XPATH=/PG(0)&amp;EPUB=Y","http://ovidsp.ovid.com/ovidweb.cgi?T=JS&amp;NEWS=n&amp;CSC=Y&amp;PAGE=booktext&amp;D=books&amp;AN=00139880$&amp;XPATH=/PG(0)&amp;EPUB=Y")</f>
        <v>http://ovidsp.ovid.com/ovidweb.cgi?T=JS&amp;NEWS=n&amp;CSC=Y&amp;PAGE=booktext&amp;D=books&amp;AN=00139880$&amp;XPATH=/PG(0)&amp;EPUB=Y</v>
      </c>
      <c r="G175" t="s">
        <v>2139</v>
      </c>
      <c r="H175" t="s">
        <v>2974</v>
      </c>
      <c r="I175">
        <v>1206726</v>
      </c>
      <c r="J175" t="s">
        <v>3263</v>
      </c>
      <c r="K175" t="s">
        <v>1420</v>
      </c>
    </row>
    <row r="176" spans="1:11" x14ac:dyDescent="0.3">
      <c r="A176" t="s">
        <v>1646</v>
      </c>
      <c r="B176" t="s">
        <v>302</v>
      </c>
      <c r="C176" t="s">
        <v>4258</v>
      </c>
      <c r="D176" t="s">
        <v>4111</v>
      </c>
      <c r="E176" t="s">
        <v>1104</v>
      </c>
      <c r="F176" s="1" t="str">
        <f>HYPERLINK("http://ovidsp.ovid.com/ovidweb.cgi?T=JS&amp;NEWS=n&amp;CSC=Y&amp;PAGE=booktext&amp;D=books&amp;AN=01437405$&amp;XPATH=/PG(0)&amp;EPUB=Y","http://ovidsp.ovid.com/ovidweb.cgi?T=JS&amp;NEWS=n&amp;CSC=Y&amp;PAGE=booktext&amp;D=books&amp;AN=01437405$&amp;XPATH=/PG(0)&amp;EPUB=Y")</f>
        <v>http://ovidsp.ovid.com/ovidweb.cgi?T=JS&amp;NEWS=n&amp;CSC=Y&amp;PAGE=booktext&amp;D=books&amp;AN=01437405$&amp;XPATH=/PG(0)&amp;EPUB=Y</v>
      </c>
      <c r="G176" t="s">
        <v>2139</v>
      </c>
      <c r="H176" t="s">
        <v>2974</v>
      </c>
      <c r="I176">
        <v>1206726</v>
      </c>
      <c r="J176" t="s">
        <v>3263</v>
      </c>
      <c r="K176" t="s">
        <v>1437</v>
      </c>
    </row>
    <row r="177" spans="1:11" x14ac:dyDescent="0.3">
      <c r="A177" t="s">
        <v>1646</v>
      </c>
      <c r="B177" t="s">
        <v>3468</v>
      </c>
      <c r="C177" t="s">
        <v>566</v>
      </c>
      <c r="D177" t="s">
        <v>4111</v>
      </c>
      <c r="E177" t="s">
        <v>404</v>
      </c>
      <c r="F177" s="1" t="str">
        <f>HYPERLINK("http://ovidsp.ovid.com/ovidweb.cgi?T=JS&amp;NEWS=n&amp;CSC=Y&amp;PAGE=booktext&amp;D=books&amp;AN=01382838$&amp;XPATH=/PG(0)&amp;EPUB=Y","http://ovidsp.ovid.com/ovidweb.cgi?T=JS&amp;NEWS=n&amp;CSC=Y&amp;PAGE=booktext&amp;D=books&amp;AN=01382838$&amp;XPATH=/PG(0)&amp;EPUB=Y")</f>
        <v>http://ovidsp.ovid.com/ovidweb.cgi?T=JS&amp;NEWS=n&amp;CSC=Y&amp;PAGE=booktext&amp;D=books&amp;AN=01382838$&amp;XPATH=/PG(0)&amp;EPUB=Y</v>
      </c>
      <c r="G177" t="s">
        <v>2139</v>
      </c>
      <c r="H177" t="s">
        <v>2974</v>
      </c>
      <c r="I177">
        <v>1206726</v>
      </c>
      <c r="J177" t="s">
        <v>3263</v>
      </c>
      <c r="K177" t="s">
        <v>2412</v>
      </c>
    </row>
    <row r="178" spans="1:11" x14ac:dyDescent="0.3">
      <c r="A178" t="s">
        <v>1174</v>
      </c>
      <c r="B178" t="s">
        <v>3128</v>
      </c>
      <c r="C178" t="s">
        <v>1444</v>
      </c>
      <c r="D178" t="s">
        <v>4111</v>
      </c>
      <c r="E178" t="s">
        <v>3051</v>
      </c>
      <c r="F178" s="1" t="str">
        <f>HYPERLINK("http://ovidsp.ovid.com/ovidweb.cgi?T=JS&amp;NEWS=n&amp;CSC=Y&amp;PAGE=booktext&amp;D=books&amp;AN=01429594$&amp;XPATH=/PG(0)&amp;EPUB=Y","http://ovidsp.ovid.com/ovidweb.cgi?T=JS&amp;NEWS=n&amp;CSC=Y&amp;PAGE=booktext&amp;D=books&amp;AN=01429594$&amp;XPATH=/PG(0)&amp;EPUB=Y")</f>
        <v>http://ovidsp.ovid.com/ovidweb.cgi?T=JS&amp;NEWS=n&amp;CSC=Y&amp;PAGE=booktext&amp;D=books&amp;AN=01429594$&amp;XPATH=/PG(0)&amp;EPUB=Y</v>
      </c>
      <c r="G178" t="s">
        <v>2139</v>
      </c>
      <c r="H178" t="s">
        <v>2974</v>
      </c>
      <c r="I178">
        <v>1206726</v>
      </c>
      <c r="J178" t="s">
        <v>3263</v>
      </c>
      <c r="K178" t="s">
        <v>837</v>
      </c>
    </row>
    <row r="179" spans="1:11" x14ac:dyDescent="0.3">
      <c r="A179" t="s">
        <v>1467</v>
      </c>
      <c r="B179" t="s">
        <v>4091</v>
      </c>
      <c r="C179" t="s">
        <v>1115</v>
      </c>
      <c r="D179" t="s">
        <v>4111</v>
      </c>
      <c r="E179" t="s">
        <v>2223</v>
      </c>
      <c r="F179" s="1" t="str">
        <f>HYPERLINK("http://ovidsp.ovid.com/ovidweb.cgi?T=JS&amp;NEWS=n&amp;CSC=Y&amp;PAGE=booktext&amp;D=books&amp;AN=01382784$&amp;XPATH=/PG(0)&amp;EPUB=Y","http://ovidsp.ovid.com/ovidweb.cgi?T=JS&amp;NEWS=n&amp;CSC=Y&amp;PAGE=booktext&amp;D=books&amp;AN=01382784$&amp;XPATH=/PG(0)&amp;EPUB=Y")</f>
        <v>http://ovidsp.ovid.com/ovidweb.cgi?T=JS&amp;NEWS=n&amp;CSC=Y&amp;PAGE=booktext&amp;D=books&amp;AN=01382784$&amp;XPATH=/PG(0)&amp;EPUB=Y</v>
      </c>
      <c r="G179" t="s">
        <v>2139</v>
      </c>
      <c r="H179" t="s">
        <v>2974</v>
      </c>
      <c r="I179">
        <v>1206726</v>
      </c>
      <c r="J179" t="s">
        <v>3263</v>
      </c>
      <c r="K179" t="s">
        <v>2280</v>
      </c>
    </row>
    <row r="180" spans="1:11" x14ac:dyDescent="0.3">
      <c r="A180" t="s">
        <v>2607</v>
      </c>
      <c r="B180" t="s">
        <v>4479</v>
      </c>
      <c r="C180" t="s">
        <v>912</v>
      </c>
      <c r="D180" t="s">
        <v>4111</v>
      </c>
      <c r="E180" t="s">
        <v>3051</v>
      </c>
      <c r="F180" s="1" t="str">
        <f>HYPERLINK("http://ovidsp.ovid.com/ovidweb.cgi?T=JS&amp;NEWS=n&amp;CSC=Y&amp;PAGE=booktext&amp;D=books&amp;AN=01337346$&amp;XPATH=/PG(0)&amp;EPUB=Y","http://ovidsp.ovid.com/ovidweb.cgi?T=JS&amp;NEWS=n&amp;CSC=Y&amp;PAGE=booktext&amp;D=books&amp;AN=01337346$&amp;XPATH=/PG(0)&amp;EPUB=Y")</f>
        <v>http://ovidsp.ovid.com/ovidweb.cgi?T=JS&amp;NEWS=n&amp;CSC=Y&amp;PAGE=booktext&amp;D=books&amp;AN=01337346$&amp;XPATH=/PG(0)&amp;EPUB=Y</v>
      </c>
      <c r="G180" t="s">
        <v>2139</v>
      </c>
      <c r="H180" t="s">
        <v>2974</v>
      </c>
      <c r="I180">
        <v>1206726</v>
      </c>
      <c r="J180" t="s">
        <v>3263</v>
      </c>
      <c r="K180" t="s">
        <v>1514</v>
      </c>
    </row>
    <row r="181" spans="1:11" x14ac:dyDescent="0.3">
      <c r="A181" t="s">
        <v>4471</v>
      </c>
      <c r="B181" t="s">
        <v>301</v>
      </c>
      <c r="C181" t="s">
        <v>1492</v>
      </c>
      <c r="D181" t="s">
        <v>4111</v>
      </c>
      <c r="E181" t="s">
        <v>2876</v>
      </c>
      <c r="F181" s="1" t="str">
        <f>HYPERLINK("http://ovidsp.ovid.com/ovidweb.cgi?T=JS&amp;NEWS=n&amp;CSC=Y&amp;PAGE=booktext&amp;D=books&amp;AN=00139882$&amp;XPATH=/PG(0)&amp;EPUB=Y","http://ovidsp.ovid.com/ovidweb.cgi?T=JS&amp;NEWS=n&amp;CSC=Y&amp;PAGE=booktext&amp;D=books&amp;AN=00139882$&amp;XPATH=/PG(0)&amp;EPUB=Y")</f>
        <v>http://ovidsp.ovid.com/ovidweb.cgi?T=JS&amp;NEWS=n&amp;CSC=Y&amp;PAGE=booktext&amp;D=books&amp;AN=00139882$&amp;XPATH=/PG(0)&amp;EPUB=Y</v>
      </c>
      <c r="G181" t="s">
        <v>2139</v>
      </c>
      <c r="H181" t="s">
        <v>2974</v>
      </c>
      <c r="I181">
        <v>1206726</v>
      </c>
      <c r="J181" t="s">
        <v>3263</v>
      </c>
      <c r="K181" t="s">
        <v>4684</v>
      </c>
    </row>
    <row r="182" spans="1:11" x14ac:dyDescent="0.3">
      <c r="A182" t="s">
        <v>1384</v>
      </c>
      <c r="B182" t="s">
        <v>4369</v>
      </c>
      <c r="C182" t="s">
        <v>290</v>
      </c>
      <c r="D182" t="s">
        <v>4111</v>
      </c>
      <c r="E182" t="s">
        <v>404</v>
      </c>
      <c r="F182" s="1" t="str">
        <f>HYPERLINK("http://ovidsp.ovid.com/ovidweb.cgi?T=JS&amp;NEWS=n&amp;CSC=Y&amp;PAGE=booktext&amp;D=books&amp;AN=01312096$&amp;XPATH=/PG(0)&amp;EPUB=Y","http://ovidsp.ovid.com/ovidweb.cgi?T=JS&amp;NEWS=n&amp;CSC=Y&amp;PAGE=booktext&amp;D=books&amp;AN=01312096$&amp;XPATH=/PG(0)&amp;EPUB=Y")</f>
        <v>http://ovidsp.ovid.com/ovidweb.cgi?T=JS&amp;NEWS=n&amp;CSC=Y&amp;PAGE=booktext&amp;D=books&amp;AN=01312096$&amp;XPATH=/PG(0)&amp;EPUB=Y</v>
      </c>
      <c r="G182" t="s">
        <v>2139</v>
      </c>
      <c r="H182" t="s">
        <v>2974</v>
      </c>
      <c r="I182">
        <v>1206726</v>
      </c>
      <c r="J182" t="s">
        <v>3263</v>
      </c>
      <c r="K182" t="s">
        <v>1640</v>
      </c>
    </row>
    <row r="183" spans="1:11" x14ac:dyDescent="0.3">
      <c r="A183" t="s">
        <v>2923</v>
      </c>
      <c r="B183" t="s">
        <v>1272</v>
      </c>
      <c r="C183" t="s">
        <v>2159</v>
      </c>
      <c r="D183" t="s">
        <v>4111</v>
      </c>
      <c r="E183" t="s">
        <v>3051</v>
      </c>
      <c r="F183" s="1" t="str">
        <f>HYPERLINK("http://ovidsp.ovid.com/ovidweb.cgi?T=JS&amp;NEWS=n&amp;CSC=Y&amp;PAGE=booktext&amp;D=books&amp;AN=00139883$&amp;XPATH=/PG(0)&amp;EPUB=Y","http://ovidsp.ovid.com/ovidweb.cgi?T=JS&amp;NEWS=n&amp;CSC=Y&amp;PAGE=booktext&amp;D=books&amp;AN=00139883$&amp;XPATH=/PG(0)&amp;EPUB=Y")</f>
        <v>http://ovidsp.ovid.com/ovidweb.cgi?T=JS&amp;NEWS=n&amp;CSC=Y&amp;PAGE=booktext&amp;D=books&amp;AN=00139883$&amp;XPATH=/PG(0)&amp;EPUB=Y</v>
      </c>
      <c r="G183" t="s">
        <v>2139</v>
      </c>
      <c r="H183" t="s">
        <v>2974</v>
      </c>
      <c r="I183">
        <v>1206726</v>
      </c>
      <c r="J183" t="s">
        <v>3263</v>
      </c>
      <c r="K183" t="s">
        <v>3810</v>
      </c>
    </row>
    <row r="184" spans="1:11" x14ac:dyDescent="0.3">
      <c r="A184" t="s">
        <v>3340</v>
      </c>
      <c r="B184" t="s">
        <v>1144</v>
      </c>
      <c r="C184" t="s">
        <v>176</v>
      </c>
      <c r="D184" t="s">
        <v>4111</v>
      </c>
      <c r="E184" t="s">
        <v>2223</v>
      </c>
      <c r="F184" s="1" t="str">
        <f>HYPERLINK("http://ovidsp.ovid.com/ovidweb.cgi?T=JS&amp;NEWS=n&amp;CSC=Y&amp;PAGE=booktext&amp;D=books&amp;AN=01337662$&amp;XPATH=/PG(0)&amp;EPUB=Y","http://ovidsp.ovid.com/ovidweb.cgi?T=JS&amp;NEWS=n&amp;CSC=Y&amp;PAGE=booktext&amp;D=books&amp;AN=01337662$&amp;XPATH=/PG(0)&amp;EPUB=Y")</f>
        <v>http://ovidsp.ovid.com/ovidweb.cgi?T=JS&amp;NEWS=n&amp;CSC=Y&amp;PAGE=booktext&amp;D=books&amp;AN=01337662$&amp;XPATH=/PG(0)&amp;EPUB=Y</v>
      </c>
      <c r="G184" t="s">
        <v>2139</v>
      </c>
      <c r="H184" t="s">
        <v>2974</v>
      </c>
      <c r="I184">
        <v>1206726</v>
      </c>
      <c r="J184" t="s">
        <v>3263</v>
      </c>
      <c r="K184" t="s">
        <v>3428</v>
      </c>
    </row>
    <row r="185" spans="1:11" x14ac:dyDescent="0.3">
      <c r="A185" t="s">
        <v>1708</v>
      </c>
      <c r="B185" t="s">
        <v>57</v>
      </c>
      <c r="C185" t="s">
        <v>1388</v>
      </c>
      <c r="D185" t="s">
        <v>4111</v>
      </c>
      <c r="E185" t="s">
        <v>404</v>
      </c>
      <c r="F185" s="1" t="str">
        <f>HYPERLINK("http://ovidsp.ovid.com/ovidweb.cgi?T=JS&amp;NEWS=n&amp;CSC=Y&amp;PAGE=booktext&amp;D=books&amp;AN=01437505$&amp;XPATH=/PG(0)&amp;EPUB=Y","http://ovidsp.ovid.com/ovidweb.cgi?T=JS&amp;NEWS=n&amp;CSC=Y&amp;PAGE=booktext&amp;D=books&amp;AN=01437505$&amp;XPATH=/PG(0)&amp;EPUB=Y")</f>
        <v>http://ovidsp.ovid.com/ovidweb.cgi?T=JS&amp;NEWS=n&amp;CSC=Y&amp;PAGE=booktext&amp;D=books&amp;AN=01437505$&amp;XPATH=/PG(0)&amp;EPUB=Y</v>
      </c>
      <c r="G185" t="s">
        <v>2139</v>
      </c>
      <c r="H185" t="s">
        <v>2974</v>
      </c>
      <c r="I185">
        <v>1206726</v>
      </c>
      <c r="J185" t="s">
        <v>3263</v>
      </c>
      <c r="K185" t="s">
        <v>728</v>
      </c>
    </row>
    <row r="186" spans="1:11" x14ac:dyDescent="0.3">
      <c r="A186" t="s">
        <v>1622</v>
      </c>
      <c r="B186" t="s">
        <v>2496</v>
      </c>
      <c r="C186" t="s">
        <v>128</v>
      </c>
      <c r="D186" t="s">
        <v>4111</v>
      </c>
      <c r="E186" t="s">
        <v>2223</v>
      </c>
      <c r="F186" s="1" t="str">
        <f>HYPERLINK("http://ovidsp.ovid.com/ovidweb.cgi?T=JS&amp;NEWS=n&amp;CSC=Y&amp;PAGE=booktext&amp;D=books&amp;AN=01269235$&amp;XPATH=/PG(0)&amp;EPUB=Y","http://ovidsp.ovid.com/ovidweb.cgi?T=JS&amp;NEWS=n&amp;CSC=Y&amp;PAGE=booktext&amp;D=books&amp;AN=01269235$&amp;XPATH=/PG(0)&amp;EPUB=Y")</f>
        <v>http://ovidsp.ovid.com/ovidweb.cgi?T=JS&amp;NEWS=n&amp;CSC=Y&amp;PAGE=booktext&amp;D=books&amp;AN=01269235$&amp;XPATH=/PG(0)&amp;EPUB=Y</v>
      </c>
      <c r="G186" t="s">
        <v>2139</v>
      </c>
      <c r="H186" t="s">
        <v>2974</v>
      </c>
      <c r="I186">
        <v>1206726</v>
      </c>
      <c r="J186" t="s">
        <v>3263</v>
      </c>
      <c r="K186" t="s">
        <v>4343</v>
      </c>
    </row>
    <row r="187" spans="1:11" x14ac:dyDescent="0.3">
      <c r="A187" t="s">
        <v>2756</v>
      </c>
      <c r="B187" t="s">
        <v>1145</v>
      </c>
      <c r="C187" t="s">
        <v>2852</v>
      </c>
      <c r="D187" t="s">
        <v>4111</v>
      </c>
      <c r="E187" t="s">
        <v>1595</v>
      </c>
      <c r="F187" s="1" t="str">
        <f>HYPERLINK("http://ovidsp.ovid.com/ovidweb.cgi?T=JS&amp;NEWS=n&amp;CSC=Y&amp;PAGE=booktext&amp;D=books&amp;AN=00139885$&amp;XPATH=/PG(0)&amp;EPUB=Y","http://ovidsp.ovid.com/ovidweb.cgi?T=JS&amp;NEWS=n&amp;CSC=Y&amp;PAGE=booktext&amp;D=books&amp;AN=00139885$&amp;XPATH=/PG(0)&amp;EPUB=Y")</f>
        <v>http://ovidsp.ovid.com/ovidweb.cgi?T=JS&amp;NEWS=n&amp;CSC=Y&amp;PAGE=booktext&amp;D=books&amp;AN=00139885$&amp;XPATH=/PG(0)&amp;EPUB=Y</v>
      </c>
      <c r="G187" t="s">
        <v>2139</v>
      </c>
      <c r="H187" t="s">
        <v>2974</v>
      </c>
      <c r="I187">
        <v>1206726</v>
      </c>
      <c r="J187" t="s">
        <v>3263</v>
      </c>
      <c r="K187" t="s">
        <v>467</v>
      </c>
    </row>
    <row r="188" spans="1:11" x14ac:dyDescent="0.3">
      <c r="A188" t="s">
        <v>2403</v>
      </c>
      <c r="B188" t="s">
        <v>3150</v>
      </c>
      <c r="C188" t="s">
        <v>2077</v>
      </c>
      <c r="D188" t="s">
        <v>4111</v>
      </c>
      <c r="E188" t="s">
        <v>2223</v>
      </c>
      <c r="F188" s="1" t="str">
        <f>HYPERLINK("http://ovidsp.ovid.com/ovidweb.cgi?T=JS&amp;NEWS=n&amp;CSC=Y&amp;PAGE=booktext&amp;D=books&amp;AN=01382739$&amp;XPATH=/PG(0)&amp;EPUB=Y","http://ovidsp.ovid.com/ovidweb.cgi?T=JS&amp;NEWS=n&amp;CSC=Y&amp;PAGE=booktext&amp;D=books&amp;AN=01382739$&amp;XPATH=/PG(0)&amp;EPUB=Y")</f>
        <v>http://ovidsp.ovid.com/ovidweb.cgi?T=JS&amp;NEWS=n&amp;CSC=Y&amp;PAGE=booktext&amp;D=books&amp;AN=01382739$&amp;XPATH=/PG(0)&amp;EPUB=Y</v>
      </c>
      <c r="G188" t="s">
        <v>2139</v>
      </c>
      <c r="H188" t="s">
        <v>2974</v>
      </c>
      <c r="I188">
        <v>1206726</v>
      </c>
      <c r="J188" t="s">
        <v>3263</v>
      </c>
      <c r="K188" t="s">
        <v>3593</v>
      </c>
    </row>
    <row r="189" spans="1:11" x14ac:dyDescent="0.3">
      <c r="A189" t="s">
        <v>3684</v>
      </c>
      <c r="B189" t="s">
        <v>4365</v>
      </c>
      <c r="C189" t="s">
        <v>3085</v>
      </c>
      <c r="D189" t="s">
        <v>4111</v>
      </c>
      <c r="E189" t="s">
        <v>3051</v>
      </c>
      <c r="F189" s="1" t="str">
        <f>HYPERLINK("http://ovidsp.ovid.com/ovidweb.cgi?T=JS&amp;NEWS=n&amp;CSC=Y&amp;PAGE=booktext&amp;D=books&amp;AN=01337293$&amp;XPATH=/PG(0)&amp;EPUB=Y","http://ovidsp.ovid.com/ovidweb.cgi?T=JS&amp;NEWS=n&amp;CSC=Y&amp;PAGE=booktext&amp;D=books&amp;AN=01337293$&amp;XPATH=/PG(0)&amp;EPUB=Y")</f>
        <v>http://ovidsp.ovid.com/ovidweb.cgi?T=JS&amp;NEWS=n&amp;CSC=Y&amp;PAGE=booktext&amp;D=books&amp;AN=01337293$&amp;XPATH=/PG(0)&amp;EPUB=Y</v>
      </c>
      <c r="G189" t="s">
        <v>2139</v>
      </c>
      <c r="H189" t="s">
        <v>2974</v>
      </c>
      <c r="I189">
        <v>1206726</v>
      </c>
      <c r="J189" t="s">
        <v>3263</v>
      </c>
      <c r="K189" t="s">
        <v>593</v>
      </c>
    </row>
    <row r="190" spans="1:11" x14ac:dyDescent="0.3">
      <c r="A190" t="s">
        <v>3353</v>
      </c>
      <c r="B190" t="s">
        <v>2150</v>
      </c>
      <c r="C190" t="s">
        <v>1979</v>
      </c>
      <c r="D190" t="s">
        <v>4111</v>
      </c>
      <c r="E190" t="s">
        <v>2223</v>
      </c>
      <c r="F190" s="1" t="str">
        <f>HYPERLINK("http://ovidsp.ovid.com/ovidweb.cgi?T=JS&amp;NEWS=n&amp;CSC=Y&amp;PAGE=booktext&amp;D=books&amp;AN=01382696$&amp;XPATH=/PG(0)&amp;EPUB=Y","http://ovidsp.ovid.com/ovidweb.cgi?T=JS&amp;NEWS=n&amp;CSC=Y&amp;PAGE=booktext&amp;D=books&amp;AN=01382696$&amp;XPATH=/PG(0)&amp;EPUB=Y")</f>
        <v>http://ovidsp.ovid.com/ovidweb.cgi?T=JS&amp;NEWS=n&amp;CSC=Y&amp;PAGE=booktext&amp;D=books&amp;AN=01382696$&amp;XPATH=/PG(0)&amp;EPUB=Y</v>
      </c>
      <c r="G190" t="s">
        <v>2139</v>
      </c>
      <c r="H190" t="s">
        <v>2974</v>
      </c>
      <c r="I190">
        <v>1206726</v>
      </c>
      <c r="J190" t="s">
        <v>3263</v>
      </c>
      <c r="K190" t="s">
        <v>935</v>
      </c>
    </row>
    <row r="191" spans="1:11" x14ac:dyDescent="0.3">
      <c r="A191" t="s">
        <v>855</v>
      </c>
      <c r="B191" t="s">
        <v>3475</v>
      </c>
      <c r="C191" t="s">
        <v>4166</v>
      </c>
      <c r="D191" t="s">
        <v>4111</v>
      </c>
      <c r="E191" t="s">
        <v>2876</v>
      </c>
      <c r="F191" s="1" t="str">
        <f>HYPERLINK("http://ovidsp.ovid.com/ovidweb.cgi?T=JS&amp;NEWS=n&amp;CSC=Y&amp;PAGE=booktext&amp;D=books&amp;AN=01412532$&amp;XPATH=/PG(0)&amp;EPUB=Y","http://ovidsp.ovid.com/ovidweb.cgi?T=JS&amp;NEWS=n&amp;CSC=Y&amp;PAGE=booktext&amp;D=books&amp;AN=01412532$&amp;XPATH=/PG(0)&amp;EPUB=Y")</f>
        <v>http://ovidsp.ovid.com/ovidweb.cgi?T=JS&amp;NEWS=n&amp;CSC=Y&amp;PAGE=booktext&amp;D=books&amp;AN=01412532$&amp;XPATH=/PG(0)&amp;EPUB=Y</v>
      </c>
      <c r="G191" t="s">
        <v>2139</v>
      </c>
      <c r="H191" t="s">
        <v>2974</v>
      </c>
      <c r="I191">
        <v>1206726</v>
      </c>
      <c r="J191" t="s">
        <v>3263</v>
      </c>
      <c r="K191" t="s">
        <v>164</v>
      </c>
    </row>
    <row r="192" spans="1:11" x14ac:dyDescent="0.3">
      <c r="A192" t="s">
        <v>2486</v>
      </c>
      <c r="B192" t="s">
        <v>3407</v>
      </c>
      <c r="C192" t="s">
        <v>3681</v>
      </c>
      <c r="D192" t="s">
        <v>4111</v>
      </c>
      <c r="E192" t="s">
        <v>404</v>
      </c>
      <c r="F192" s="1" t="str">
        <f>HYPERLINK("http://ovidsp.ovid.com/ovidweb.cgi?T=JS&amp;NEWS=n&amp;CSC=Y&amp;PAGE=booktext&amp;D=books&amp;AN=01382466$&amp;XPATH=/PG(0)&amp;EPUB=Y","http://ovidsp.ovid.com/ovidweb.cgi?T=JS&amp;NEWS=n&amp;CSC=Y&amp;PAGE=booktext&amp;D=books&amp;AN=01382466$&amp;XPATH=/PG(0)&amp;EPUB=Y")</f>
        <v>http://ovidsp.ovid.com/ovidweb.cgi?T=JS&amp;NEWS=n&amp;CSC=Y&amp;PAGE=booktext&amp;D=books&amp;AN=01382466$&amp;XPATH=/PG(0)&amp;EPUB=Y</v>
      </c>
      <c r="G192" t="s">
        <v>2139</v>
      </c>
      <c r="H192" t="s">
        <v>2974</v>
      </c>
      <c r="I192">
        <v>1206726</v>
      </c>
      <c r="J192" t="s">
        <v>3263</v>
      </c>
      <c r="K192" t="s">
        <v>3568</v>
      </c>
    </row>
    <row r="193" spans="1:11" x14ac:dyDescent="0.3">
      <c r="A193" t="s">
        <v>899</v>
      </c>
      <c r="B193" t="s">
        <v>2364</v>
      </c>
      <c r="C193" t="s">
        <v>1907</v>
      </c>
      <c r="D193" t="s">
        <v>4111</v>
      </c>
      <c r="E193" t="s">
        <v>3387</v>
      </c>
      <c r="F193" s="1" t="str">
        <f>HYPERLINK("http://ovidsp.ovid.com/ovidweb.cgi?T=JS&amp;NEWS=n&amp;CSC=Y&amp;PAGE=booktext&amp;D=books&amp;AN=01429405$&amp;XPATH=/PG(0)&amp;EPUB=Y","http://ovidsp.ovid.com/ovidweb.cgi?T=JS&amp;NEWS=n&amp;CSC=Y&amp;PAGE=booktext&amp;D=books&amp;AN=01429405$&amp;XPATH=/PG(0)&amp;EPUB=Y")</f>
        <v>http://ovidsp.ovid.com/ovidweb.cgi?T=JS&amp;NEWS=n&amp;CSC=Y&amp;PAGE=booktext&amp;D=books&amp;AN=01429405$&amp;XPATH=/PG(0)&amp;EPUB=Y</v>
      </c>
      <c r="G193" t="s">
        <v>2139</v>
      </c>
      <c r="H193" t="s">
        <v>2974</v>
      </c>
      <c r="I193">
        <v>1206726</v>
      </c>
      <c r="J193" t="s">
        <v>3263</v>
      </c>
      <c r="K193" t="s">
        <v>4325</v>
      </c>
    </row>
    <row r="194" spans="1:11" x14ac:dyDescent="0.3">
      <c r="A194" t="s">
        <v>899</v>
      </c>
      <c r="B194" t="s">
        <v>376</v>
      </c>
      <c r="C194" t="s">
        <v>1796</v>
      </c>
      <c r="D194" t="s">
        <v>4111</v>
      </c>
      <c r="E194" t="s">
        <v>1595</v>
      </c>
      <c r="F194" s="1" t="str">
        <f>HYPERLINK("http://ovidsp.ovid.com/ovidweb.cgi?T=JS&amp;NEWS=n&amp;CSC=Y&amp;PAGE=booktext&amp;D=books&amp;AN=01720492$&amp;XPATH=/PG(0)&amp;EPUB=Y","http://ovidsp.ovid.com/ovidweb.cgi?T=JS&amp;NEWS=n&amp;CSC=Y&amp;PAGE=booktext&amp;D=books&amp;AN=01720492$&amp;XPATH=/PG(0)&amp;EPUB=Y")</f>
        <v>http://ovidsp.ovid.com/ovidweb.cgi?T=JS&amp;NEWS=n&amp;CSC=Y&amp;PAGE=booktext&amp;D=books&amp;AN=01720492$&amp;XPATH=/PG(0)&amp;EPUB=Y</v>
      </c>
      <c r="G194" t="s">
        <v>2139</v>
      </c>
      <c r="H194" t="s">
        <v>2974</v>
      </c>
      <c r="I194">
        <v>1206726</v>
      </c>
      <c r="J194" t="s">
        <v>3263</v>
      </c>
      <c r="K194" t="s">
        <v>3066</v>
      </c>
    </row>
    <row r="195" spans="1:11" x14ac:dyDescent="0.3">
      <c r="A195" t="s">
        <v>2567</v>
      </c>
      <c r="B195" t="s">
        <v>2424</v>
      </c>
      <c r="C195" t="s">
        <v>567</v>
      </c>
      <c r="D195" t="s">
        <v>4111</v>
      </c>
      <c r="E195" t="s">
        <v>2970</v>
      </c>
      <c r="F195" s="1" t="str">
        <f>HYPERLINK("http://ovidsp.ovid.com/ovidweb.cgi?T=JS&amp;NEWS=n&amp;CSC=Y&amp;PAGE=booktext&amp;D=books&amp;AN=01436866$&amp;XPATH=/PG(0)&amp;EPUB=Y","http://ovidsp.ovid.com/ovidweb.cgi?T=JS&amp;NEWS=n&amp;CSC=Y&amp;PAGE=booktext&amp;D=books&amp;AN=01436866$&amp;XPATH=/PG(0)&amp;EPUB=Y")</f>
        <v>http://ovidsp.ovid.com/ovidweb.cgi?T=JS&amp;NEWS=n&amp;CSC=Y&amp;PAGE=booktext&amp;D=books&amp;AN=01436866$&amp;XPATH=/PG(0)&amp;EPUB=Y</v>
      </c>
      <c r="G195" t="s">
        <v>2139</v>
      </c>
      <c r="H195" t="s">
        <v>2974</v>
      </c>
      <c r="I195">
        <v>1206726</v>
      </c>
      <c r="J195" t="s">
        <v>3263</v>
      </c>
      <c r="K195" t="s">
        <v>4070</v>
      </c>
    </row>
    <row r="196" spans="1:11" x14ac:dyDescent="0.3">
      <c r="A196" t="s">
        <v>2993</v>
      </c>
      <c r="B196" t="s">
        <v>3717</v>
      </c>
      <c r="C196" t="s">
        <v>3867</v>
      </c>
      <c r="D196" t="s">
        <v>4111</v>
      </c>
      <c r="E196" t="s">
        <v>2223</v>
      </c>
      <c r="F196" s="1" t="str">
        <f>HYPERLINK("http://ovidsp.ovid.com/ovidweb.cgi?T=JS&amp;NEWS=n&amp;CSC=Y&amp;PAGE=booktext&amp;D=books&amp;AN=01436854$&amp;XPATH=/PG(0)&amp;EPUB=Y","http://ovidsp.ovid.com/ovidweb.cgi?T=JS&amp;NEWS=n&amp;CSC=Y&amp;PAGE=booktext&amp;D=books&amp;AN=01436854$&amp;XPATH=/PG(0)&amp;EPUB=Y")</f>
        <v>http://ovidsp.ovid.com/ovidweb.cgi?T=JS&amp;NEWS=n&amp;CSC=Y&amp;PAGE=booktext&amp;D=books&amp;AN=01436854$&amp;XPATH=/PG(0)&amp;EPUB=Y</v>
      </c>
      <c r="G196" t="s">
        <v>2139</v>
      </c>
      <c r="H196" t="s">
        <v>2974</v>
      </c>
      <c r="I196">
        <v>1206726</v>
      </c>
      <c r="J196" t="s">
        <v>3263</v>
      </c>
      <c r="K196" t="s">
        <v>465</v>
      </c>
    </row>
    <row r="197" spans="1:11" x14ac:dyDescent="0.3">
      <c r="A197" t="s">
        <v>2645</v>
      </c>
      <c r="B197" t="s">
        <v>1062</v>
      </c>
      <c r="C197" t="s">
        <v>2757</v>
      </c>
      <c r="D197" t="s">
        <v>4111</v>
      </c>
      <c r="E197" t="s">
        <v>1104</v>
      </c>
      <c r="F197" s="1" t="str">
        <f>HYPERLINK("http://ovidsp.ovid.com/ovidweb.cgi?T=JS&amp;NEWS=n&amp;CSC=Y&amp;PAGE=booktext&amp;D=books&amp;AN=01337663$&amp;XPATH=/PG(0)&amp;EPUB=Y","http://ovidsp.ovid.com/ovidweb.cgi?T=JS&amp;NEWS=n&amp;CSC=Y&amp;PAGE=booktext&amp;D=books&amp;AN=01337663$&amp;XPATH=/PG(0)&amp;EPUB=Y")</f>
        <v>http://ovidsp.ovid.com/ovidweb.cgi?T=JS&amp;NEWS=n&amp;CSC=Y&amp;PAGE=booktext&amp;D=books&amp;AN=01337663$&amp;XPATH=/PG(0)&amp;EPUB=Y</v>
      </c>
      <c r="G197" t="s">
        <v>2139</v>
      </c>
      <c r="H197" t="s">
        <v>2974</v>
      </c>
      <c r="I197">
        <v>1206726</v>
      </c>
      <c r="J197" t="s">
        <v>3263</v>
      </c>
      <c r="K197" t="s">
        <v>1398</v>
      </c>
    </row>
    <row r="198" spans="1:11" x14ac:dyDescent="0.3">
      <c r="A198" t="s">
        <v>3754</v>
      </c>
      <c r="B198" t="s">
        <v>321</v>
      </c>
      <c r="C198" t="s">
        <v>4404</v>
      </c>
      <c r="D198" t="s">
        <v>4111</v>
      </c>
      <c r="E198" t="s">
        <v>2223</v>
      </c>
      <c r="F198" s="1" t="str">
        <f>HYPERLINK("http://ovidsp.ovid.com/ovidweb.cgi?T=JS&amp;NEWS=n&amp;CSC=Y&amp;PAGE=booktext&amp;D=books&amp;AN=01279733$&amp;XPATH=/PG(0)&amp;EPUB=Y","http://ovidsp.ovid.com/ovidweb.cgi?T=JS&amp;NEWS=n&amp;CSC=Y&amp;PAGE=booktext&amp;D=books&amp;AN=01279733$&amp;XPATH=/PG(0)&amp;EPUB=Y")</f>
        <v>http://ovidsp.ovid.com/ovidweb.cgi?T=JS&amp;NEWS=n&amp;CSC=Y&amp;PAGE=booktext&amp;D=books&amp;AN=01279733$&amp;XPATH=/PG(0)&amp;EPUB=Y</v>
      </c>
      <c r="G198" t="s">
        <v>2139</v>
      </c>
      <c r="H198" t="s">
        <v>2974</v>
      </c>
      <c r="I198">
        <v>1206726</v>
      </c>
      <c r="J198" t="s">
        <v>3263</v>
      </c>
      <c r="K198" t="s">
        <v>564</v>
      </c>
    </row>
    <row r="199" spans="1:11" x14ac:dyDescent="0.3">
      <c r="A199" t="s">
        <v>803</v>
      </c>
      <c r="B199" t="s">
        <v>1985</v>
      </c>
      <c r="C199" t="s">
        <v>3876</v>
      </c>
      <c r="D199" t="s">
        <v>4111</v>
      </c>
      <c r="E199" t="s">
        <v>3051</v>
      </c>
      <c r="F199" s="1" t="str">
        <f>HYPERLINK("http://ovidsp.ovid.com/ovidweb.cgi?T=JS&amp;NEWS=n&amp;CSC=Y&amp;PAGE=booktext&amp;D=books&amp;AN=01329138$&amp;XPATH=/PG(0)&amp;EPUB=Y","http://ovidsp.ovid.com/ovidweb.cgi?T=JS&amp;NEWS=n&amp;CSC=Y&amp;PAGE=booktext&amp;D=books&amp;AN=01329138$&amp;XPATH=/PG(0)&amp;EPUB=Y")</f>
        <v>http://ovidsp.ovid.com/ovidweb.cgi?T=JS&amp;NEWS=n&amp;CSC=Y&amp;PAGE=booktext&amp;D=books&amp;AN=01329138$&amp;XPATH=/PG(0)&amp;EPUB=Y</v>
      </c>
      <c r="G199" t="s">
        <v>2139</v>
      </c>
      <c r="H199" t="s">
        <v>2974</v>
      </c>
      <c r="I199">
        <v>1206726</v>
      </c>
      <c r="J199" t="s">
        <v>3263</v>
      </c>
      <c r="K199" t="s">
        <v>4368</v>
      </c>
    </row>
    <row r="200" spans="1:11" x14ac:dyDescent="0.3">
      <c r="A200" t="s">
        <v>803</v>
      </c>
      <c r="B200" t="s">
        <v>1285</v>
      </c>
      <c r="C200" t="s">
        <v>1166</v>
      </c>
      <c r="D200" t="s">
        <v>4111</v>
      </c>
      <c r="E200" t="s">
        <v>1104</v>
      </c>
      <c r="F200" s="1" t="str">
        <f>HYPERLINK("http://ovidsp.ovid.com/ovidweb.cgi?T=JS&amp;NEWS=n&amp;CSC=Y&amp;PAGE=booktext&amp;D=books&amp;AN=01222979$&amp;XPATH=/PG(0)&amp;EPUB=Y","http://ovidsp.ovid.com/ovidweb.cgi?T=JS&amp;NEWS=n&amp;CSC=Y&amp;PAGE=booktext&amp;D=books&amp;AN=01222979$&amp;XPATH=/PG(0)&amp;EPUB=Y")</f>
        <v>http://ovidsp.ovid.com/ovidweb.cgi?T=JS&amp;NEWS=n&amp;CSC=Y&amp;PAGE=booktext&amp;D=books&amp;AN=01222979$&amp;XPATH=/PG(0)&amp;EPUB=Y</v>
      </c>
      <c r="G200" t="s">
        <v>2139</v>
      </c>
      <c r="H200" t="s">
        <v>2974</v>
      </c>
      <c r="I200">
        <v>1206726</v>
      </c>
      <c r="J200" t="s">
        <v>3263</v>
      </c>
      <c r="K200" t="s">
        <v>4013</v>
      </c>
    </row>
    <row r="201" spans="1:11" x14ac:dyDescent="0.3">
      <c r="A201" t="s">
        <v>4247</v>
      </c>
      <c r="B201" t="s">
        <v>3003</v>
      </c>
      <c r="C201" t="s">
        <v>2136</v>
      </c>
      <c r="D201" t="s">
        <v>4111</v>
      </c>
      <c r="E201" t="s">
        <v>3051</v>
      </c>
      <c r="F201" s="1" t="str">
        <f>HYPERLINK("http://ovidsp.ovid.com/ovidweb.cgi?T=JS&amp;NEWS=n&amp;CSC=Y&amp;PAGE=booktext&amp;D=books&amp;AN=01337347$&amp;XPATH=/PG(0)&amp;EPUB=Y","http://ovidsp.ovid.com/ovidweb.cgi?T=JS&amp;NEWS=n&amp;CSC=Y&amp;PAGE=booktext&amp;D=books&amp;AN=01337347$&amp;XPATH=/PG(0)&amp;EPUB=Y")</f>
        <v>http://ovidsp.ovid.com/ovidweb.cgi?T=JS&amp;NEWS=n&amp;CSC=Y&amp;PAGE=booktext&amp;D=books&amp;AN=01337347$&amp;XPATH=/PG(0)&amp;EPUB=Y</v>
      </c>
      <c r="G201" t="s">
        <v>2139</v>
      </c>
      <c r="H201" t="s">
        <v>2974</v>
      </c>
      <c r="I201">
        <v>1206726</v>
      </c>
      <c r="J201" t="s">
        <v>3263</v>
      </c>
      <c r="K201" t="s">
        <v>3740</v>
      </c>
    </row>
    <row r="202" spans="1:11" x14ac:dyDescent="0.3">
      <c r="A202" t="s">
        <v>1903</v>
      </c>
      <c r="B202" t="s">
        <v>3589</v>
      </c>
      <c r="C202" t="s">
        <v>2844</v>
      </c>
      <c r="D202" t="s">
        <v>4111</v>
      </c>
      <c r="E202" t="s">
        <v>2223</v>
      </c>
      <c r="F202" s="1" t="str">
        <f>HYPERLINK("http://ovidsp.ovid.com/ovidweb.cgi?T=JS&amp;NEWS=n&amp;CSC=Y&amp;PAGE=booktext&amp;D=books&amp;AN=01437506$&amp;XPATH=/PG(0)&amp;EPUB=Y","http://ovidsp.ovid.com/ovidweb.cgi?T=JS&amp;NEWS=n&amp;CSC=Y&amp;PAGE=booktext&amp;D=books&amp;AN=01437506$&amp;XPATH=/PG(0)&amp;EPUB=Y")</f>
        <v>http://ovidsp.ovid.com/ovidweb.cgi?T=JS&amp;NEWS=n&amp;CSC=Y&amp;PAGE=booktext&amp;D=books&amp;AN=01437506$&amp;XPATH=/PG(0)&amp;EPUB=Y</v>
      </c>
      <c r="G202" t="s">
        <v>2139</v>
      </c>
      <c r="H202" t="s">
        <v>2974</v>
      </c>
      <c r="I202">
        <v>1206726</v>
      </c>
      <c r="J202" t="s">
        <v>3263</v>
      </c>
      <c r="K202" t="s">
        <v>1757</v>
      </c>
    </row>
    <row r="203" spans="1:11" x14ac:dyDescent="0.3">
      <c r="A203" t="s">
        <v>4554</v>
      </c>
      <c r="B203" t="s">
        <v>251</v>
      </c>
      <c r="C203" t="s">
        <v>817</v>
      </c>
      <c r="D203" t="s">
        <v>4111</v>
      </c>
      <c r="E203" t="s">
        <v>1104</v>
      </c>
      <c r="F203" s="1" t="str">
        <f>HYPERLINK("http://ovidsp.ovid.com/ovidweb.cgi?T=JS&amp;NEWS=n&amp;CSC=Y&amp;PAGE=booktext&amp;D=books&amp;AN=01222980$&amp;XPATH=/PG(0)&amp;EPUB=Y","http://ovidsp.ovid.com/ovidweb.cgi?T=JS&amp;NEWS=n&amp;CSC=Y&amp;PAGE=booktext&amp;D=books&amp;AN=01222980$&amp;XPATH=/PG(0)&amp;EPUB=Y")</f>
        <v>http://ovidsp.ovid.com/ovidweb.cgi?T=JS&amp;NEWS=n&amp;CSC=Y&amp;PAGE=booktext&amp;D=books&amp;AN=01222980$&amp;XPATH=/PG(0)&amp;EPUB=Y</v>
      </c>
      <c r="G203" t="s">
        <v>2139</v>
      </c>
      <c r="H203" t="s">
        <v>2974</v>
      </c>
      <c r="I203">
        <v>1206726</v>
      </c>
      <c r="J203" t="s">
        <v>3263</v>
      </c>
      <c r="K203" t="s">
        <v>2036</v>
      </c>
    </row>
    <row r="204" spans="1:11" x14ac:dyDescent="0.3">
      <c r="A204" t="s">
        <v>3098</v>
      </c>
      <c r="B204" t="s">
        <v>223</v>
      </c>
      <c r="C204" t="s">
        <v>3441</v>
      </c>
      <c r="D204" t="s">
        <v>4111</v>
      </c>
      <c r="E204" t="s">
        <v>3051</v>
      </c>
      <c r="F204" s="1" t="str">
        <f>HYPERLINK("http://ovidsp.ovid.com/ovidweb.cgi?T=JS&amp;NEWS=n&amp;CSC=Y&amp;PAGE=booktext&amp;D=books&amp;AN=01382464$&amp;XPATH=/PG(0)&amp;EPUB=Y","http://ovidsp.ovid.com/ovidweb.cgi?T=JS&amp;NEWS=n&amp;CSC=Y&amp;PAGE=booktext&amp;D=books&amp;AN=01382464$&amp;XPATH=/PG(0)&amp;EPUB=Y")</f>
        <v>http://ovidsp.ovid.com/ovidweb.cgi?T=JS&amp;NEWS=n&amp;CSC=Y&amp;PAGE=booktext&amp;D=books&amp;AN=01382464$&amp;XPATH=/PG(0)&amp;EPUB=Y</v>
      </c>
      <c r="G204" t="s">
        <v>2139</v>
      </c>
      <c r="H204" t="s">
        <v>2974</v>
      </c>
      <c r="I204">
        <v>1206726</v>
      </c>
      <c r="J204" t="s">
        <v>3263</v>
      </c>
      <c r="K204" t="s">
        <v>4173</v>
      </c>
    </row>
    <row r="205" spans="1:11" x14ac:dyDescent="0.3">
      <c r="A205" t="s">
        <v>4127</v>
      </c>
      <c r="B205" t="s">
        <v>2608</v>
      </c>
      <c r="C205" t="s">
        <v>1961</v>
      </c>
      <c r="D205" t="s">
        <v>4111</v>
      </c>
      <c r="E205" t="s">
        <v>2223</v>
      </c>
      <c r="F205" s="1" t="str">
        <f>HYPERLINK("http://ovidsp.ovid.com/ovidweb.cgi?T=JS&amp;NEWS=n&amp;CSC=Y&amp;PAGE=booktext&amp;D=books&amp;AN=01438427$&amp;XPATH=/PG(0)&amp;EPUB=Y","http://ovidsp.ovid.com/ovidweb.cgi?T=JS&amp;NEWS=n&amp;CSC=Y&amp;PAGE=booktext&amp;D=books&amp;AN=01438427$&amp;XPATH=/PG(0)&amp;EPUB=Y")</f>
        <v>http://ovidsp.ovid.com/ovidweb.cgi?T=JS&amp;NEWS=n&amp;CSC=Y&amp;PAGE=booktext&amp;D=books&amp;AN=01438427$&amp;XPATH=/PG(0)&amp;EPUB=Y</v>
      </c>
      <c r="G205" t="s">
        <v>2139</v>
      </c>
      <c r="H205" t="s">
        <v>2974</v>
      </c>
      <c r="I205">
        <v>1206726</v>
      </c>
      <c r="J205" t="s">
        <v>3263</v>
      </c>
      <c r="K205" t="s">
        <v>4084</v>
      </c>
    </row>
    <row r="206" spans="1:11" x14ac:dyDescent="0.3">
      <c r="A206" t="s">
        <v>550</v>
      </c>
      <c r="B206" t="s">
        <v>4578</v>
      </c>
      <c r="C206" t="s">
        <v>2048</v>
      </c>
      <c r="D206" t="s">
        <v>4111</v>
      </c>
      <c r="E206" t="s">
        <v>2223</v>
      </c>
      <c r="F206" s="1" t="str">
        <f>HYPERLINK("http://ovidsp.ovid.com/ovidweb.cgi?T=JS&amp;NEWS=n&amp;CSC=Y&amp;PAGE=booktext&amp;D=books&amp;AN=01256987$&amp;XPATH=/PG(0)&amp;EPUB=Y","http://ovidsp.ovid.com/ovidweb.cgi?T=JS&amp;NEWS=n&amp;CSC=Y&amp;PAGE=booktext&amp;D=books&amp;AN=01256987$&amp;XPATH=/PG(0)&amp;EPUB=Y")</f>
        <v>http://ovidsp.ovid.com/ovidweb.cgi?T=JS&amp;NEWS=n&amp;CSC=Y&amp;PAGE=booktext&amp;D=books&amp;AN=01256987$&amp;XPATH=/PG(0)&amp;EPUB=Y</v>
      </c>
      <c r="G206" t="s">
        <v>2139</v>
      </c>
      <c r="H206" t="s">
        <v>2974</v>
      </c>
      <c r="I206">
        <v>1206726</v>
      </c>
      <c r="J206" t="s">
        <v>3263</v>
      </c>
      <c r="K206" t="s">
        <v>1794</v>
      </c>
    </row>
    <row r="207" spans="1:11" x14ac:dyDescent="0.3">
      <c r="A207" t="s">
        <v>4571</v>
      </c>
      <c r="B207" t="s">
        <v>2761</v>
      </c>
      <c r="C207" t="s">
        <v>1928</v>
      </c>
      <c r="D207" t="s">
        <v>4111</v>
      </c>
      <c r="E207" t="s">
        <v>404</v>
      </c>
      <c r="F207" s="1" t="str">
        <f>HYPERLINK("http://ovidsp.ovid.com/ovidweb.cgi?T=JS&amp;NEWS=n&amp;CSC=Y&amp;PAGE=booktext&amp;D=books&amp;AN=01434716$&amp;XPATH=/PG(0)&amp;EPUB=Y","http://ovidsp.ovid.com/ovidweb.cgi?T=JS&amp;NEWS=n&amp;CSC=Y&amp;PAGE=booktext&amp;D=books&amp;AN=01434716$&amp;XPATH=/PG(0)&amp;EPUB=Y")</f>
        <v>http://ovidsp.ovid.com/ovidweb.cgi?T=JS&amp;NEWS=n&amp;CSC=Y&amp;PAGE=booktext&amp;D=books&amp;AN=01434716$&amp;XPATH=/PG(0)&amp;EPUB=Y</v>
      </c>
      <c r="G207" t="s">
        <v>2139</v>
      </c>
      <c r="H207" t="s">
        <v>2974</v>
      </c>
      <c r="I207">
        <v>1206726</v>
      </c>
      <c r="J207" t="s">
        <v>3263</v>
      </c>
      <c r="K207" t="s">
        <v>4579</v>
      </c>
    </row>
    <row r="208" spans="1:11" x14ac:dyDescent="0.3">
      <c r="A208" t="s">
        <v>2663</v>
      </c>
      <c r="B208" t="s">
        <v>3938</v>
      </c>
      <c r="C208" t="s">
        <v>3257</v>
      </c>
      <c r="D208" t="s">
        <v>4111</v>
      </c>
      <c r="E208" t="s">
        <v>2223</v>
      </c>
      <c r="F208" s="1" t="str">
        <f>HYPERLINK("http://ovidsp.ovid.com/ovidweb.cgi?T=JS&amp;NEWS=n&amp;CSC=Y&amp;PAGE=booktext&amp;D=books&amp;AN=01279734$&amp;XPATH=/PG(0)&amp;EPUB=Y","http://ovidsp.ovid.com/ovidweb.cgi?T=JS&amp;NEWS=n&amp;CSC=Y&amp;PAGE=booktext&amp;D=books&amp;AN=01279734$&amp;XPATH=/PG(0)&amp;EPUB=Y")</f>
        <v>http://ovidsp.ovid.com/ovidweb.cgi?T=JS&amp;NEWS=n&amp;CSC=Y&amp;PAGE=booktext&amp;D=books&amp;AN=01279734$&amp;XPATH=/PG(0)&amp;EPUB=Y</v>
      </c>
      <c r="G208" t="s">
        <v>2139</v>
      </c>
      <c r="H208" t="s">
        <v>2974</v>
      </c>
      <c r="I208">
        <v>1206726</v>
      </c>
      <c r="J208" t="s">
        <v>3263</v>
      </c>
      <c r="K208" t="s">
        <v>4701</v>
      </c>
    </row>
    <row r="209" spans="1:11" x14ac:dyDescent="0.3">
      <c r="A209" t="s">
        <v>3292</v>
      </c>
      <c r="B209" t="s">
        <v>1623</v>
      </c>
      <c r="C209" t="s">
        <v>1256</v>
      </c>
      <c r="D209" t="s">
        <v>4111</v>
      </c>
      <c r="E209" t="s">
        <v>3387</v>
      </c>
      <c r="F209" s="1" t="str">
        <f>HYPERLINK("http://ovidsp.ovid.com/ovidweb.cgi?T=JS&amp;NEWS=n&amp;CSC=Y&amp;PAGE=booktext&amp;D=books&amp;AN=01337505$&amp;XPATH=/PG(0)&amp;EPUB=Y","http://ovidsp.ovid.com/ovidweb.cgi?T=JS&amp;NEWS=n&amp;CSC=Y&amp;PAGE=booktext&amp;D=books&amp;AN=01337505$&amp;XPATH=/PG(0)&amp;EPUB=Y")</f>
        <v>http://ovidsp.ovid.com/ovidweb.cgi?T=JS&amp;NEWS=n&amp;CSC=Y&amp;PAGE=booktext&amp;D=books&amp;AN=01337505$&amp;XPATH=/PG(0)&amp;EPUB=Y</v>
      </c>
      <c r="G209" t="s">
        <v>2139</v>
      </c>
      <c r="H209" t="s">
        <v>2974</v>
      </c>
      <c r="I209">
        <v>1206726</v>
      </c>
      <c r="J209" t="s">
        <v>3263</v>
      </c>
      <c r="K209" t="s">
        <v>2266</v>
      </c>
    </row>
    <row r="210" spans="1:11" x14ac:dyDescent="0.3">
      <c r="A210" t="s">
        <v>3739</v>
      </c>
      <c r="B210" t="s">
        <v>38</v>
      </c>
      <c r="C210" t="s">
        <v>2386</v>
      </c>
      <c r="D210" t="s">
        <v>4111</v>
      </c>
      <c r="E210" t="s">
        <v>1595</v>
      </c>
      <c r="F210" s="1" t="str">
        <f>HYPERLINK("http://ovidsp.ovid.com/ovidweb.cgi?T=JS&amp;NEWS=n&amp;CSC=Y&amp;PAGE=booktext&amp;D=books&amp;AN=00139889$&amp;XPATH=/PG(0)&amp;EPUB=Y","http://ovidsp.ovid.com/ovidweb.cgi?T=JS&amp;NEWS=n&amp;CSC=Y&amp;PAGE=booktext&amp;D=books&amp;AN=00139889$&amp;XPATH=/PG(0)&amp;EPUB=Y")</f>
        <v>http://ovidsp.ovid.com/ovidweb.cgi?T=JS&amp;NEWS=n&amp;CSC=Y&amp;PAGE=booktext&amp;D=books&amp;AN=00139889$&amp;XPATH=/PG(0)&amp;EPUB=Y</v>
      </c>
      <c r="G210" t="s">
        <v>2139</v>
      </c>
      <c r="H210" t="s">
        <v>2974</v>
      </c>
      <c r="I210">
        <v>1206726</v>
      </c>
      <c r="J210" t="s">
        <v>3263</v>
      </c>
      <c r="K210" t="s">
        <v>3215</v>
      </c>
    </row>
    <row r="211" spans="1:11" x14ac:dyDescent="0.3">
      <c r="A211" t="s">
        <v>2004</v>
      </c>
      <c r="B211" t="s">
        <v>588</v>
      </c>
      <c r="C211" t="s">
        <v>830</v>
      </c>
      <c r="D211" t="s">
        <v>4111</v>
      </c>
      <c r="E211" t="s">
        <v>2970</v>
      </c>
      <c r="F211" s="1" t="str">
        <f>HYPERLINK("http://ovidsp.ovid.com/ovidweb.cgi?T=JS&amp;NEWS=n&amp;CSC=Y&amp;PAGE=booktext&amp;D=books&amp;AN=01437507$&amp;XPATH=/PG(0)&amp;EPUB=Y","http://ovidsp.ovid.com/ovidweb.cgi?T=JS&amp;NEWS=n&amp;CSC=Y&amp;PAGE=booktext&amp;D=books&amp;AN=01437507$&amp;XPATH=/PG(0)&amp;EPUB=Y")</f>
        <v>http://ovidsp.ovid.com/ovidweb.cgi?T=JS&amp;NEWS=n&amp;CSC=Y&amp;PAGE=booktext&amp;D=books&amp;AN=01437507$&amp;XPATH=/PG(0)&amp;EPUB=Y</v>
      </c>
      <c r="G211" t="s">
        <v>2139</v>
      </c>
      <c r="H211" t="s">
        <v>2974</v>
      </c>
      <c r="I211">
        <v>1206726</v>
      </c>
      <c r="J211" t="s">
        <v>3263</v>
      </c>
      <c r="K211" t="s">
        <v>3007</v>
      </c>
    </row>
    <row r="212" spans="1:11" x14ac:dyDescent="0.3">
      <c r="A212" t="s">
        <v>2771</v>
      </c>
      <c r="B212" t="s">
        <v>4270</v>
      </c>
      <c r="C212" t="s">
        <v>2532</v>
      </c>
      <c r="D212" t="s">
        <v>4111</v>
      </c>
      <c r="E212" t="s">
        <v>3051</v>
      </c>
      <c r="F212" s="1" t="str">
        <f>HYPERLINK("http://ovidsp.ovid.com/ovidweb.cgi?T=JS&amp;NEWS=n&amp;CSC=Y&amp;PAGE=booktext&amp;D=books&amp;AN=01256996$&amp;XPATH=/PG(0)&amp;EPUB=Y","http://ovidsp.ovid.com/ovidweb.cgi?T=JS&amp;NEWS=n&amp;CSC=Y&amp;PAGE=booktext&amp;D=books&amp;AN=01256996$&amp;XPATH=/PG(0)&amp;EPUB=Y")</f>
        <v>http://ovidsp.ovid.com/ovidweb.cgi?T=JS&amp;NEWS=n&amp;CSC=Y&amp;PAGE=booktext&amp;D=books&amp;AN=01256996$&amp;XPATH=/PG(0)&amp;EPUB=Y</v>
      </c>
      <c r="G212" t="s">
        <v>2139</v>
      </c>
      <c r="H212" t="s">
        <v>2974</v>
      </c>
      <c r="I212">
        <v>1206726</v>
      </c>
      <c r="J212" t="s">
        <v>3263</v>
      </c>
      <c r="K212" t="s">
        <v>4618</v>
      </c>
    </row>
    <row r="213" spans="1:11" x14ac:dyDescent="0.3">
      <c r="A213" t="s">
        <v>998</v>
      </c>
      <c r="B213" t="s">
        <v>2710</v>
      </c>
      <c r="C213" t="s">
        <v>4428</v>
      </c>
      <c r="D213" t="s">
        <v>4111</v>
      </c>
      <c r="E213" t="s">
        <v>3051</v>
      </c>
      <c r="F213" s="1" t="str">
        <f>HYPERLINK("http://ovidsp.ovid.com/ovidweb.cgi?T=JS&amp;NEWS=n&amp;CSC=Y&amp;PAGE=booktext&amp;D=books&amp;AN=00139913$&amp;XPATH=/PG(0)&amp;EPUB=Y","http://ovidsp.ovid.com/ovidweb.cgi?T=JS&amp;NEWS=n&amp;CSC=Y&amp;PAGE=booktext&amp;D=books&amp;AN=00139913$&amp;XPATH=/PG(0)&amp;EPUB=Y")</f>
        <v>http://ovidsp.ovid.com/ovidweb.cgi?T=JS&amp;NEWS=n&amp;CSC=Y&amp;PAGE=booktext&amp;D=books&amp;AN=00139913$&amp;XPATH=/PG(0)&amp;EPUB=Y</v>
      </c>
      <c r="G213" t="s">
        <v>2139</v>
      </c>
      <c r="H213" t="s">
        <v>2974</v>
      </c>
      <c r="I213">
        <v>1206726</v>
      </c>
      <c r="J213" t="s">
        <v>3263</v>
      </c>
      <c r="K213" t="s">
        <v>2847</v>
      </c>
    </row>
    <row r="214" spans="1:11" x14ac:dyDescent="0.3">
      <c r="A214" t="s">
        <v>958</v>
      </c>
      <c r="B214" t="s">
        <v>1584</v>
      </c>
      <c r="C214" t="s">
        <v>356</v>
      </c>
      <c r="D214" t="s">
        <v>4111</v>
      </c>
      <c r="E214" t="s">
        <v>404</v>
      </c>
      <c r="F214" s="1" t="str">
        <f>HYPERLINK("http://ovidsp.ovid.com/ovidweb.cgi?T=JS&amp;NEWS=n&amp;CSC=Y&amp;PAGE=booktext&amp;D=books&amp;AN=00149848$&amp;XPATH=/PG(0)&amp;EPUB=Y","http://ovidsp.ovid.com/ovidweb.cgi?T=JS&amp;NEWS=n&amp;CSC=Y&amp;PAGE=booktext&amp;D=books&amp;AN=00149848$&amp;XPATH=/PG(0)&amp;EPUB=Y")</f>
        <v>http://ovidsp.ovid.com/ovidweb.cgi?T=JS&amp;NEWS=n&amp;CSC=Y&amp;PAGE=booktext&amp;D=books&amp;AN=00149848$&amp;XPATH=/PG(0)&amp;EPUB=Y</v>
      </c>
      <c r="G214" t="s">
        <v>2139</v>
      </c>
      <c r="H214" t="s">
        <v>2974</v>
      </c>
      <c r="I214">
        <v>1206726</v>
      </c>
      <c r="J214" t="s">
        <v>3263</v>
      </c>
      <c r="K214" t="s">
        <v>2924</v>
      </c>
    </row>
    <row r="215" spans="1:11" x14ac:dyDescent="0.3">
      <c r="A215" t="s">
        <v>2826</v>
      </c>
      <c r="B215" t="s">
        <v>3865</v>
      </c>
      <c r="C215" t="s">
        <v>3883</v>
      </c>
      <c r="D215" t="s">
        <v>4111</v>
      </c>
      <c r="E215" t="s">
        <v>1104</v>
      </c>
      <c r="F215" s="1" t="str">
        <f>HYPERLINK("http://ovidsp.ovid.com/ovidweb.cgi?T=JS&amp;NEWS=n&amp;CSC=Y&amp;PAGE=booktext&amp;D=books&amp;AN=01337523$&amp;XPATH=/PG(0)&amp;EPUB=Y","http://ovidsp.ovid.com/ovidweb.cgi?T=JS&amp;NEWS=n&amp;CSC=Y&amp;PAGE=booktext&amp;D=books&amp;AN=01337523$&amp;XPATH=/PG(0)&amp;EPUB=Y")</f>
        <v>http://ovidsp.ovid.com/ovidweb.cgi?T=JS&amp;NEWS=n&amp;CSC=Y&amp;PAGE=booktext&amp;D=books&amp;AN=01337523$&amp;XPATH=/PG(0)&amp;EPUB=Y</v>
      </c>
      <c r="G215" t="s">
        <v>2139</v>
      </c>
      <c r="H215" t="s">
        <v>2974</v>
      </c>
      <c r="I215">
        <v>1206726</v>
      </c>
      <c r="J215" t="s">
        <v>3263</v>
      </c>
      <c r="K215" t="s">
        <v>3378</v>
      </c>
    </row>
    <row r="216" spans="1:11" x14ac:dyDescent="0.3">
      <c r="A216" t="s">
        <v>1028</v>
      </c>
      <c r="B216" t="s">
        <v>4024</v>
      </c>
      <c r="C216" t="s">
        <v>4702</v>
      </c>
      <c r="D216" t="s">
        <v>4111</v>
      </c>
      <c r="E216" t="s">
        <v>404</v>
      </c>
      <c r="F216" s="1" t="str">
        <f>HYPERLINK("http://ovidsp.ovid.com/ovidweb.cgi?T=JS&amp;NEWS=n&amp;CSC=Y&amp;PAGE=booktext&amp;D=books&amp;AN=01337565$&amp;XPATH=/PG(0)&amp;EPUB=Y","http://ovidsp.ovid.com/ovidweb.cgi?T=JS&amp;NEWS=n&amp;CSC=Y&amp;PAGE=booktext&amp;D=books&amp;AN=01337565$&amp;XPATH=/PG(0)&amp;EPUB=Y")</f>
        <v>http://ovidsp.ovid.com/ovidweb.cgi?T=JS&amp;NEWS=n&amp;CSC=Y&amp;PAGE=booktext&amp;D=books&amp;AN=01337565$&amp;XPATH=/PG(0)&amp;EPUB=Y</v>
      </c>
      <c r="G216" t="s">
        <v>2139</v>
      </c>
      <c r="H216" t="s">
        <v>2974</v>
      </c>
      <c r="I216">
        <v>1206726</v>
      </c>
      <c r="J216" t="s">
        <v>3263</v>
      </c>
      <c r="K216" t="s">
        <v>3108</v>
      </c>
    </row>
    <row r="217" spans="1:11" x14ac:dyDescent="0.3">
      <c r="A217" t="s">
        <v>2541</v>
      </c>
      <c r="B217" t="s">
        <v>4034</v>
      </c>
      <c r="C217" t="s">
        <v>3788</v>
      </c>
      <c r="D217" t="s">
        <v>4111</v>
      </c>
      <c r="E217" t="s">
        <v>2223</v>
      </c>
      <c r="F217" s="1" t="str">
        <f>HYPERLINK("http://ovidsp.ovid.com/ovidweb.cgi?T=JS&amp;NEWS=n&amp;CSC=Y&amp;PAGE=booktext&amp;D=books&amp;AN=01382465$&amp;XPATH=/PG(0)&amp;EPUB=Y","http://ovidsp.ovid.com/ovidweb.cgi?T=JS&amp;NEWS=n&amp;CSC=Y&amp;PAGE=booktext&amp;D=books&amp;AN=01382465$&amp;XPATH=/PG(0)&amp;EPUB=Y")</f>
        <v>http://ovidsp.ovid.com/ovidweb.cgi?T=JS&amp;NEWS=n&amp;CSC=Y&amp;PAGE=booktext&amp;D=books&amp;AN=01382465$&amp;XPATH=/PG(0)&amp;EPUB=Y</v>
      </c>
      <c r="G217" t="s">
        <v>2139</v>
      </c>
      <c r="H217" t="s">
        <v>2974</v>
      </c>
      <c r="I217">
        <v>1206726</v>
      </c>
      <c r="J217" t="s">
        <v>3263</v>
      </c>
      <c r="K217" t="s">
        <v>4321</v>
      </c>
    </row>
    <row r="218" spans="1:11" x14ac:dyDescent="0.3">
      <c r="A218" t="s">
        <v>4309</v>
      </c>
      <c r="B218" t="s">
        <v>4442</v>
      </c>
      <c r="C218" t="s">
        <v>1852</v>
      </c>
      <c r="D218" t="s">
        <v>4111</v>
      </c>
      <c r="E218" t="s">
        <v>1104</v>
      </c>
      <c r="F218" s="1" t="str">
        <f>HYPERLINK("http://ovidsp.ovid.com/ovidweb.cgi?T=JS&amp;NEWS=n&amp;CSC=Y&amp;PAGE=booktext&amp;D=books&amp;AN=01382718$&amp;XPATH=/PG(0)&amp;EPUB=Y","http://ovidsp.ovid.com/ovidweb.cgi?T=JS&amp;NEWS=n&amp;CSC=Y&amp;PAGE=booktext&amp;D=books&amp;AN=01382718$&amp;XPATH=/PG(0)&amp;EPUB=Y")</f>
        <v>http://ovidsp.ovid.com/ovidweb.cgi?T=JS&amp;NEWS=n&amp;CSC=Y&amp;PAGE=booktext&amp;D=books&amp;AN=01382718$&amp;XPATH=/PG(0)&amp;EPUB=Y</v>
      </c>
      <c r="G218" t="s">
        <v>2139</v>
      </c>
      <c r="H218" t="s">
        <v>2974</v>
      </c>
      <c r="I218">
        <v>1206726</v>
      </c>
      <c r="J218" t="s">
        <v>3263</v>
      </c>
      <c r="K218" t="s">
        <v>1817</v>
      </c>
    </row>
    <row r="219" spans="1:11" x14ac:dyDescent="0.3">
      <c r="A219" t="s">
        <v>2343</v>
      </c>
      <c r="B219" t="s">
        <v>4374</v>
      </c>
      <c r="C219" t="s">
        <v>1432</v>
      </c>
      <c r="D219" t="s">
        <v>4111</v>
      </c>
      <c r="E219" t="s">
        <v>3387</v>
      </c>
      <c r="F219" s="1" t="str">
        <f>HYPERLINK("http://ovidsp.ovid.com/ovidweb.cgi?T=JS&amp;NEWS=n&amp;CSC=Y&amp;PAGE=booktext&amp;D=books&amp;AN=01429703$&amp;XPATH=/PG(0)&amp;EPUB=Y","http://ovidsp.ovid.com/ovidweb.cgi?T=JS&amp;NEWS=n&amp;CSC=Y&amp;PAGE=booktext&amp;D=books&amp;AN=01429703$&amp;XPATH=/PG(0)&amp;EPUB=Y")</f>
        <v>http://ovidsp.ovid.com/ovidweb.cgi?T=JS&amp;NEWS=n&amp;CSC=Y&amp;PAGE=booktext&amp;D=books&amp;AN=01429703$&amp;XPATH=/PG(0)&amp;EPUB=Y</v>
      </c>
      <c r="G219" t="s">
        <v>2139</v>
      </c>
      <c r="H219" t="s">
        <v>2974</v>
      </c>
      <c r="I219">
        <v>1206726</v>
      </c>
      <c r="J219" t="s">
        <v>3263</v>
      </c>
      <c r="K219" t="s">
        <v>262</v>
      </c>
    </row>
    <row r="220" spans="1:11" x14ac:dyDescent="0.3">
      <c r="A220" t="s">
        <v>2343</v>
      </c>
      <c r="B220" t="s">
        <v>2707</v>
      </c>
      <c r="C220" t="s">
        <v>71</v>
      </c>
      <c r="D220" t="s">
        <v>4111</v>
      </c>
      <c r="E220" t="s">
        <v>1595</v>
      </c>
      <c r="F220" s="1" t="str">
        <f>HYPERLINK("http://ovidsp.ovid.com/ovidweb.cgi?T=JS&amp;NEWS=n&amp;CSC=Y&amp;PAGE=booktext&amp;D=books&amp;AN=01787190$&amp;XPATH=/PG(0)&amp;EPUB=Y","http://ovidsp.ovid.com/ovidweb.cgi?T=JS&amp;NEWS=n&amp;CSC=Y&amp;PAGE=booktext&amp;D=books&amp;AN=01787190$&amp;XPATH=/PG(0)&amp;EPUB=Y")</f>
        <v>http://ovidsp.ovid.com/ovidweb.cgi?T=JS&amp;NEWS=n&amp;CSC=Y&amp;PAGE=booktext&amp;D=books&amp;AN=01787190$&amp;XPATH=/PG(0)&amp;EPUB=Y</v>
      </c>
      <c r="G220" t="s">
        <v>2139</v>
      </c>
      <c r="H220" t="s">
        <v>2974</v>
      </c>
      <c r="I220">
        <v>1206726</v>
      </c>
      <c r="J220" t="s">
        <v>3263</v>
      </c>
      <c r="K220" t="s">
        <v>4416</v>
      </c>
    </row>
    <row r="221" spans="1:11" x14ac:dyDescent="0.3">
      <c r="A221" t="s">
        <v>4625</v>
      </c>
      <c r="B221" t="s">
        <v>1487</v>
      </c>
      <c r="C221" t="s">
        <v>1591</v>
      </c>
      <c r="D221" t="s">
        <v>4111</v>
      </c>
      <c r="E221" t="s">
        <v>2223</v>
      </c>
      <c r="F221" s="1" t="str">
        <f>HYPERLINK("http://ovidsp.ovid.com/ovidweb.cgi?T=JS&amp;NEWS=n&amp;CSC=Y&amp;PAGE=booktext&amp;D=books&amp;AN=01437508$&amp;XPATH=/PG(0)&amp;EPUB=Y","http://ovidsp.ovid.com/ovidweb.cgi?T=JS&amp;NEWS=n&amp;CSC=Y&amp;PAGE=booktext&amp;D=books&amp;AN=01437508$&amp;XPATH=/PG(0)&amp;EPUB=Y")</f>
        <v>http://ovidsp.ovid.com/ovidweb.cgi?T=JS&amp;NEWS=n&amp;CSC=Y&amp;PAGE=booktext&amp;D=books&amp;AN=01437508$&amp;XPATH=/PG(0)&amp;EPUB=Y</v>
      </c>
      <c r="G221" t="s">
        <v>2139</v>
      </c>
      <c r="H221" t="s">
        <v>2974</v>
      </c>
      <c r="I221">
        <v>1206726</v>
      </c>
      <c r="J221" t="s">
        <v>3263</v>
      </c>
      <c r="K221" t="s">
        <v>671</v>
      </c>
    </row>
    <row r="222" spans="1:11" x14ac:dyDescent="0.3">
      <c r="A222" t="s">
        <v>3890</v>
      </c>
      <c r="B222" t="s">
        <v>1716</v>
      </c>
      <c r="C222" t="s">
        <v>3173</v>
      </c>
      <c r="D222" t="s">
        <v>4111</v>
      </c>
      <c r="E222" t="s">
        <v>2223</v>
      </c>
      <c r="F222" s="1" t="str">
        <f>HYPERLINK("http://ovidsp.ovid.com/ovidweb.cgi?T=JS&amp;NEWS=n&amp;CSC=Y&amp;PAGE=booktext&amp;D=books&amp;AN=01626592$&amp;XPATH=/PG(0)&amp;EPUB=Y","http://ovidsp.ovid.com/ovidweb.cgi?T=JS&amp;NEWS=n&amp;CSC=Y&amp;PAGE=booktext&amp;D=books&amp;AN=01626592$&amp;XPATH=/PG(0)&amp;EPUB=Y")</f>
        <v>http://ovidsp.ovid.com/ovidweb.cgi?T=JS&amp;NEWS=n&amp;CSC=Y&amp;PAGE=booktext&amp;D=books&amp;AN=01626592$&amp;XPATH=/PG(0)&amp;EPUB=Y</v>
      </c>
      <c r="G222" t="s">
        <v>2139</v>
      </c>
      <c r="H222" t="s">
        <v>2974</v>
      </c>
      <c r="I222">
        <v>1206726</v>
      </c>
      <c r="J222" t="s">
        <v>3263</v>
      </c>
      <c r="K222" t="s">
        <v>1066</v>
      </c>
    </row>
    <row r="223" spans="1:11" x14ac:dyDescent="0.3">
      <c r="A223" t="s">
        <v>2615</v>
      </c>
      <c r="B223" t="s">
        <v>3388</v>
      </c>
      <c r="C223" t="s">
        <v>2865</v>
      </c>
      <c r="D223" t="s">
        <v>4111</v>
      </c>
      <c r="E223" t="s">
        <v>2223</v>
      </c>
      <c r="F223" s="1" t="str">
        <f>HYPERLINK("http://ovidsp.ovid.com/ovidweb.cgi?T=JS&amp;NEWS=n&amp;CSC=Y&amp;PAGE=booktext&amp;D=books&amp;AN=01382469$&amp;XPATH=/PG(0)&amp;EPUB=Y","http://ovidsp.ovid.com/ovidweb.cgi?T=JS&amp;NEWS=n&amp;CSC=Y&amp;PAGE=booktext&amp;D=books&amp;AN=01382469$&amp;XPATH=/PG(0)&amp;EPUB=Y")</f>
        <v>http://ovidsp.ovid.com/ovidweb.cgi?T=JS&amp;NEWS=n&amp;CSC=Y&amp;PAGE=booktext&amp;D=books&amp;AN=01382469$&amp;XPATH=/PG(0)&amp;EPUB=Y</v>
      </c>
      <c r="G223" t="s">
        <v>2139</v>
      </c>
      <c r="H223" t="s">
        <v>2974</v>
      </c>
      <c r="I223">
        <v>1206726</v>
      </c>
      <c r="J223" t="s">
        <v>3263</v>
      </c>
      <c r="K223" t="s">
        <v>731</v>
      </c>
    </row>
    <row r="224" spans="1:11" x14ac:dyDescent="0.3">
      <c r="A224" t="s">
        <v>2517</v>
      </c>
      <c r="B224" t="s">
        <v>1632</v>
      </c>
      <c r="C224" t="s">
        <v>1691</v>
      </c>
      <c r="D224" t="s">
        <v>4111</v>
      </c>
      <c r="E224" t="s">
        <v>2223</v>
      </c>
      <c r="F224" s="1" t="str">
        <f>HYPERLINK("http://ovidsp.ovid.com/ovidweb.cgi?T=JS&amp;NEWS=n&amp;CSC=Y&amp;PAGE=booktext&amp;D=books&amp;AN=01382470$&amp;XPATH=/PG(0)&amp;EPUB=Y","http://ovidsp.ovid.com/ovidweb.cgi?T=JS&amp;NEWS=n&amp;CSC=Y&amp;PAGE=booktext&amp;D=books&amp;AN=01382470$&amp;XPATH=/PG(0)&amp;EPUB=Y")</f>
        <v>http://ovidsp.ovid.com/ovidweb.cgi?T=JS&amp;NEWS=n&amp;CSC=Y&amp;PAGE=booktext&amp;D=books&amp;AN=01382470$&amp;XPATH=/PG(0)&amp;EPUB=Y</v>
      </c>
      <c r="G224" t="s">
        <v>2139</v>
      </c>
      <c r="H224" t="s">
        <v>2974</v>
      </c>
      <c r="I224">
        <v>1206726</v>
      </c>
      <c r="J224" t="s">
        <v>3263</v>
      </c>
      <c r="K224" t="s">
        <v>4224</v>
      </c>
    </row>
    <row r="225" spans="1:11" x14ac:dyDescent="0.3">
      <c r="A225" t="s">
        <v>24</v>
      </c>
      <c r="B225" t="s">
        <v>583</v>
      </c>
      <c r="C225" t="s">
        <v>1892</v>
      </c>
      <c r="D225" t="s">
        <v>4111</v>
      </c>
      <c r="E225" t="s">
        <v>2223</v>
      </c>
      <c r="F225" s="1" t="str">
        <f>HYPERLINK("http://ovidsp.ovid.com/ovidweb.cgi?T=JS&amp;NEWS=n&amp;CSC=Y&amp;PAGE=booktext&amp;D=books&amp;AN=01382471$&amp;XPATH=/PG(0)&amp;EPUB=Y","http://ovidsp.ovid.com/ovidweb.cgi?T=JS&amp;NEWS=n&amp;CSC=Y&amp;PAGE=booktext&amp;D=books&amp;AN=01382471$&amp;XPATH=/PG(0)&amp;EPUB=Y")</f>
        <v>http://ovidsp.ovid.com/ovidweb.cgi?T=JS&amp;NEWS=n&amp;CSC=Y&amp;PAGE=booktext&amp;D=books&amp;AN=01382471$&amp;XPATH=/PG(0)&amp;EPUB=Y</v>
      </c>
      <c r="G225" t="s">
        <v>2139</v>
      </c>
      <c r="H225" t="s">
        <v>2974</v>
      </c>
      <c r="I225">
        <v>1206726</v>
      </c>
      <c r="J225" t="s">
        <v>3263</v>
      </c>
      <c r="K225" t="s">
        <v>313</v>
      </c>
    </row>
    <row r="226" spans="1:11" x14ac:dyDescent="0.3">
      <c r="A226" t="s">
        <v>3301</v>
      </c>
      <c r="B226" t="s">
        <v>162</v>
      </c>
      <c r="C226" t="s">
        <v>4193</v>
      </c>
      <c r="D226" t="s">
        <v>4111</v>
      </c>
      <c r="E226" t="s">
        <v>2223</v>
      </c>
      <c r="F226" s="1" t="str">
        <f>HYPERLINK("http://ovidsp.ovid.com/ovidweb.cgi?T=JS&amp;NEWS=n&amp;CSC=Y&amp;PAGE=booktext&amp;D=books&amp;AN=01382680$&amp;XPATH=/PG(0)&amp;EPUB=Y","http://ovidsp.ovid.com/ovidweb.cgi?T=JS&amp;NEWS=n&amp;CSC=Y&amp;PAGE=booktext&amp;D=books&amp;AN=01382680$&amp;XPATH=/PG(0)&amp;EPUB=Y")</f>
        <v>http://ovidsp.ovid.com/ovidweb.cgi?T=JS&amp;NEWS=n&amp;CSC=Y&amp;PAGE=booktext&amp;D=books&amp;AN=01382680$&amp;XPATH=/PG(0)&amp;EPUB=Y</v>
      </c>
      <c r="G226" t="s">
        <v>2139</v>
      </c>
      <c r="H226" t="s">
        <v>2974</v>
      </c>
      <c r="I226">
        <v>1206726</v>
      </c>
      <c r="J226" t="s">
        <v>3263</v>
      </c>
      <c r="K226" t="s">
        <v>3777</v>
      </c>
    </row>
    <row r="227" spans="1:11" x14ac:dyDescent="0.3">
      <c r="A227" t="s">
        <v>704</v>
      </c>
      <c r="B227" t="s">
        <v>3025</v>
      </c>
      <c r="C227" t="s">
        <v>3851</v>
      </c>
      <c r="D227" t="s">
        <v>4111</v>
      </c>
      <c r="E227" t="s">
        <v>2223</v>
      </c>
      <c r="F227" s="1" t="str">
        <f>HYPERLINK("http://ovidsp.ovid.com/ovidweb.cgi?T=JS&amp;NEWS=n&amp;CSC=Y&amp;PAGE=booktext&amp;D=books&amp;AN=01222982$&amp;XPATH=/PG(0)&amp;EPUB=Y","http://ovidsp.ovid.com/ovidweb.cgi?T=JS&amp;NEWS=n&amp;CSC=Y&amp;PAGE=booktext&amp;D=books&amp;AN=01222982$&amp;XPATH=/PG(0)&amp;EPUB=Y")</f>
        <v>http://ovidsp.ovid.com/ovidweb.cgi?T=JS&amp;NEWS=n&amp;CSC=Y&amp;PAGE=booktext&amp;D=books&amp;AN=01222982$&amp;XPATH=/PG(0)&amp;EPUB=Y</v>
      </c>
      <c r="G227" t="s">
        <v>2139</v>
      </c>
      <c r="H227" t="s">
        <v>2974</v>
      </c>
      <c r="I227">
        <v>1206726</v>
      </c>
      <c r="J227" t="s">
        <v>3263</v>
      </c>
      <c r="K227" t="s">
        <v>1522</v>
      </c>
    </row>
    <row r="228" spans="1:11" x14ac:dyDescent="0.3">
      <c r="A228" t="s">
        <v>1554</v>
      </c>
      <c r="B228" t="s">
        <v>2353</v>
      </c>
      <c r="C228" t="s">
        <v>3877</v>
      </c>
      <c r="D228" t="s">
        <v>4111</v>
      </c>
      <c r="E228" t="s">
        <v>2223</v>
      </c>
      <c r="F228" s="1" t="str">
        <f>HYPERLINK("http://ovidsp.ovid.com/ovidweb.cgi?T=JS&amp;NEWS=n&amp;CSC=Y&amp;PAGE=booktext&amp;D=books&amp;AN=01256997$&amp;XPATH=/PG(0)&amp;EPUB=Y","http://ovidsp.ovid.com/ovidweb.cgi?T=JS&amp;NEWS=n&amp;CSC=Y&amp;PAGE=booktext&amp;D=books&amp;AN=01256997$&amp;XPATH=/PG(0)&amp;EPUB=Y")</f>
        <v>http://ovidsp.ovid.com/ovidweb.cgi?T=JS&amp;NEWS=n&amp;CSC=Y&amp;PAGE=booktext&amp;D=books&amp;AN=01256997$&amp;XPATH=/PG(0)&amp;EPUB=Y</v>
      </c>
      <c r="G228" t="s">
        <v>2139</v>
      </c>
      <c r="H228" t="s">
        <v>2974</v>
      </c>
      <c r="I228">
        <v>1206726</v>
      </c>
      <c r="J228" t="s">
        <v>3263</v>
      </c>
      <c r="K228" t="s">
        <v>4310</v>
      </c>
    </row>
    <row r="229" spans="1:11" x14ac:dyDescent="0.3">
      <c r="A229" t="s">
        <v>4040</v>
      </c>
      <c r="B229" t="s">
        <v>1662</v>
      </c>
      <c r="C229" t="s">
        <v>4092</v>
      </c>
      <c r="D229" t="s">
        <v>4111</v>
      </c>
      <c r="E229" t="s">
        <v>404</v>
      </c>
      <c r="F229" s="1" t="str">
        <f>HYPERLINK("http://ovidsp.ovid.com/ovidweb.cgi?T=JS&amp;NEWS=n&amp;CSC=Y&amp;PAGE=booktext&amp;D=books&amp;AN=01376497$&amp;XPATH=/PG(0)&amp;EPUB=Y","http://ovidsp.ovid.com/ovidweb.cgi?T=JS&amp;NEWS=n&amp;CSC=Y&amp;PAGE=booktext&amp;D=books&amp;AN=01376497$&amp;XPATH=/PG(0)&amp;EPUB=Y")</f>
        <v>http://ovidsp.ovid.com/ovidweb.cgi?T=JS&amp;NEWS=n&amp;CSC=Y&amp;PAGE=booktext&amp;D=books&amp;AN=01376497$&amp;XPATH=/PG(0)&amp;EPUB=Y</v>
      </c>
      <c r="G229" t="s">
        <v>2139</v>
      </c>
      <c r="H229" t="s">
        <v>2974</v>
      </c>
      <c r="I229">
        <v>1206726</v>
      </c>
      <c r="J229" t="s">
        <v>3263</v>
      </c>
      <c r="K229" t="s">
        <v>62</v>
      </c>
    </row>
    <row r="230" spans="1:11" x14ac:dyDescent="0.3">
      <c r="A230" t="s">
        <v>1089</v>
      </c>
      <c r="B230" t="s">
        <v>1293</v>
      </c>
      <c r="C230" t="s">
        <v>2986</v>
      </c>
      <c r="D230" t="s">
        <v>4111</v>
      </c>
      <c r="E230" t="s">
        <v>404</v>
      </c>
      <c r="F230" s="1" t="str">
        <f>HYPERLINK("http://ovidsp.ovid.com/ovidweb.cgi?T=JS&amp;NEWS=n&amp;CSC=Y&amp;PAGE=booktext&amp;D=books&amp;AN=01337524$&amp;XPATH=/PG(0)&amp;EPUB=Y","http://ovidsp.ovid.com/ovidweb.cgi?T=JS&amp;NEWS=n&amp;CSC=Y&amp;PAGE=booktext&amp;D=books&amp;AN=01337524$&amp;XPATH=/PG(0)&amp;EPUB=Y")</f>
        <v>http://ovidsp.ovid.com/ovidweb.cgi?T=JS&amp;NEWS=n&amp;CSC=Y&amp;PAGE=booktext&amp;D=books&amp;AN=01337524$&amp;XPATH=/PG(0)&amp;EPUB=Y</v>
      </c>
      <c r="G230" t="s">
        <v>2139</v>
      </c>
      <c r="H230" t="s">
        <v>2974</v>
      </c>
      <c r="I230">
        <v>1206726</v>
      </c>
      <c r="J230" t="s">
        <v>3263</v>
      </c>
      <c r="K230" t="s">
        <v>3284</v>
      </c>
    </row>
    <row r="231" spans="1:11" x14ac:dyDescent="0.3">
      <c r="A231" t="s">
        <v>2029</v>
      </c>
      <c r="B231" t="s">
        <v>1821</v>
      </c>
      <c r="C231" t="s">
        <v>2079</v>
      </c>
      <c r="D231" t="s">
        <v>4111</v>
      </c>
      <c r="E231" t="s">
        <v>2223</v>
      </c>
      <c r="F231" s="1" t="str">
        <f>HYPERLINK("http://ovidsp.ovid.com/ovidweb.cgi?T=JS&amp;NEWS=n&amp;CSC=Y&amp;PAGE=booktext&amp;D=books&amp;AN=01256998$&amp;XPATH=/PG(0)&amp;EPUB=Y","http://ovidsp.ovid.com/ovidweb.cgi?T=JS&amp;NEWS=n&amp;CSC=Y&amp;PAGE=booktext&amp;D=books&amp;AN=01256998$&amp;XPATH=/PG(0)&amp;EPUB=Y")</f>
        <v>http://ovidsp.ovid.com/ovidweb.cgi?T=JS&amp;NEWS=n&amp;CSC=Y&amp;PAGE=booktext&amp;D=books&amp;AN=01256998$&amp;XPATH=/PG(0)&amp;EPUB=Y</v>
      </c>
      <c r="G231" t="s">
        <v>2139</v>
      </c>
      <c r="H231" t="s">
        <v>2974</v>
      </c>
      <c r="I231">
        <v>1206726</v>
      </c>
      <c r="J231" t="s">
        <v>3263</v>
      </c>
      <c r="K231" t="s">
        <v>1098</v>
      </c>
    </row>
    <row r="232" spans="1:11" x14ac:dyDescent="0.3">
      <c r="A232" t="s">
        <v>2169</v>
      </c>
      <c r="B232" t="s">
        <v>1054</v>
      </c>
      <c r="C232" t="s">
        <v>518</v>
      </c>
      <c r="D232" t="s">
        <v>4111</v>
      </c>
      <c r="E232" t="s">
        <v>2876</v>
      </c>
      <c r="F232" s="1" t="str">
        <f>HYPERLINK("http://ovidsp.ovid.com/ovidweb.cgi?T=JS&amp;NEWS=n&amp;CSC=Y&amp;PAGE=booktext&amp;D=books&amp;AN=01222983$&amp;XPATH=/PG(0)&amp;EPUB=Y","http://ovidsp.ovid.com/ovidweb.cgi?T=JS&amp;NEWS=n&amp;CSC=Y&amp;PAGE=booktext&amp;D=books&amp;AN=01222983$&amp;XPATH=/PG(0)&amp;EPUB=Y")</f>
        <v>http://ovidsp.ovid.com/ovidweb.cgi?T=JS&amp;NEWS=n&amp;CSC=Y&amp;PAGE=booktext&amp;D=books&amp;AN=01222983$&amp;XPATH=/PG(0)&amp;EPUB=Y</v>
      </c>
      <c r="G232" t="s">
        <v>2139</v>
      </c>
      <c r="H232" t="s">
        <v>2974</v>
      </c>
      <c r="I232">
        <v>1206726</v>
      </c>
      <c r="J232" t="s">
        <v>3263</v>
      </c>
      <c r="K232" t="s">
        <v>1840</v>
      </c>
    </row>
    <row r="233" spans="1:11" x14ac:dyDescent="0.3">
      <c r="A233" t="s">
        <v>4366</v>
      </c>
      <c r="B233" t="s">
        <v>3798</v>
      </c>
      <c r="C233" t="s">
        <v>2072</v>
      </c>
      <c r="D233" t="s">
        <v>4111</v>
      </c>
      <c r="E233" t="s">
        <v>404</v>
      </c>
      <c r="F233" s="1" t="str">
        <f>HYPERLINK("http://ovidsp.ovid.com/ovidweb.cgi?T=JS&amp;NEWS=n&amp;CSC=Y&amp;PAGE=booktext&amp;D=books&amp;AN=01626593$&amp;XPATH=/PG(0)&amp;EPUB=Y","http://ovidsp.ovid.com/ovidweb.cgi?T=JS&amp;NEWS=n&amp;CSC=Y&amp;PAGE=booktext&amp;D=books&amp;AN=01626593$&amp;XPATH=/PG(0)&amp;EPUB=Y")</f>
        <v>http://ovidsp.ovid.com/ovidweb.cgi?T=JS&amp;NEWS=n&amp;CSC=Y&amp;PAGE=booktext&amp;D=books&amp;AN=01626593$&amp;XPATH=/PG(0)&amp;EPUB=Y</v>
      </c>
      <c r="G233" t="s">
        <v>2139</v>
      </c>
      <c r="H233" t="s">
        <v>2974</v>
      </c>
      <c r="I233">
        <v>1206726</v>
      </c>
      <c r="J233" t="s">
        <v>3263</v>
      </c>
      <c r="K233" t="s">
        <v>1221</v>
      </c>
    </row>
    <row r="234" spans="1:11" x14ac:dyDescent="0.3">
      <c r="A234" t="s">
        <v>2213</v>
      </c>
      <c r="B234" t="s">
        <v>1517</v>
      </c>
      <c r="C234" t="s">
        <v>1615</v>
      </c>
      <c r="D234" t="s">
        <v>4111</v>
      </c>
      <c r="E234" t="s">
        <v>404</v>
      </c>
      <c r="F234" s="1" t="str">
        <f>HYPERLINK("http://ovidsp.ovid.com/ovidweb.cgi?T=JS&amp;NEWS=n&amp;CSC=Y&amp;PAGE=booktext&amp;D=books&amp;AN=01626594$&amp;XPATH=/PG(0)&amp;EPUB=Y","http://ovidsp.ovid.com/ovidweb.cgi?T=JS&amp;NEWS=n&amp;CSC=Y&amp;PAGE=booktext&amp;D=books&amp;AN=01626594$&amp;XPATH=/PG(0)&amp;EPUB=Y")</f>
        <v>http://ovidsp.ovid.com/ovidweb.cgi?T=JS&amp;NEWS=n&amp;CSC=Y&amp;PAGE=booktext&amp;D=books&amp;AN=01626594$&amp;XPATH=/PG(0)&amp;EPUB=Y</v>
      </c>
      <c r="G234" t="s">
        <v>2139</v>
      </c>
      <c r="H234" t="s">
        <v>2974</v>
      </c>
      <c r="I234">
        <v>1206726</v>
      </c>
      <c r="J234" t="s">
        <v>3263</v>
      </c>
      <c r="K234" t="s">
        <v>557</v>
      </c>
    </row>
    <row r="235" spans="1:11" x14ac:dyDescent="0.3">
      <c r="A235" t="s">
        <v>3106</v>
      </c>
      <c r="B235" t="s">
        <v>285</v>
      </c>
      <c r="C235" t="s">
        <v>495</v>
      </c>
      <c r="D235" t="s">
        <v>4111</v>
      </c>
      <c r="E235" t="s">
        <v>404</v>
      </c>
      <c r="F235" s="1" t="str">
        <f>HYPERLINK("http://ovidsp.ovid.com/ovidweb.cgi?T=JS&amp;NEWS=n&amp;CSC=Y&amp;PAGE=booktext&amp;D=books&amp;AN=01626595$&amp;XPATH=/PG(0)&amp;EPUB=Y","http://ovidsp.ovid.com/ovidweb.cgi?T=JS&amp;NEWS=n&amp;CSC=Y&amp;PAGE=booktext&amp;D=books&amp;AN=01626595$&amp;XPATH=/PG(0)&amp;EPUB=Y")</f>
        <v>http://ovidsp.ovid.com/ovidweb.cgi?T=JS&amp;NEWS=n&amp;CSC=Y&amp;PAGE=booktext&amp;D=books&amp;AN=01626595$&amp;XPATH=/PG(0)&amp;EPUB=Y</v>
      </c>
      <c r="G235" t="s">
        <v>2139</v>
      </c>
      <c r="H235" t="s">
        <v>2974</v>
      </c>
      <c r="I235">
        <v>1206726</v>
      </c>
      <c r="J235" t="s">
        <v>3263</v>
      </c>
      <c r="K235" t="s">
        <v>1587</v>
      </c>
    </row>
    <row r="236" spans="1:11" x14ac:dyDescent="0.3">
      <c r="A236" t="s">
        <v>1468</v>
      </c>
      <c r="B236" t="s">
        <v>667</v>
      </c>
      <c r="C236" t="s">
        <v>548</v>
      </c>
      <c r="D236" t="s">
        <v>4111</v>
      </c>
      <c r="E236" t="s">
        <v>404</v>
      </c>
      <c r="F236" s="1" t="str">
        <f>HYPERLINK("http://ovidsp.ovid.com/ovidweb.cgi?T=JS&amp;NEWS=n&amp;CSC=Y&amp;PAGE=booktext&amp;D=books&amp;AN=01324484$&amp;XPATH=/PG(0)&amp;EPUB=Y","http://ovidsp.ovid.com/ovidweb.cgi?T=JS&amp;NEWS=n&amp;CSC=Y&amp;PAGE=booktext&amp;D=books&amp;AN=01324484$&amp;XPATH=/PG(0)&amp;EPUB=Y")</f>
        <v>http://ovidsp.ovid.com/ovidweb.cgi?T=JS&amp;NEWS=n&amp;CSC=Y&amp;PAGE=booktext&amp;D=books&amp;AN=01324484$&amp;XPATH=/PG(0)&amp;EPUB=Y</v>
      </c>
      <c r="G236" t="s">
        <v>2139</v>
      </c>
      <c r="H236" t="s">
        <v>2974</v>
      </c>
      <c r="I236">
        <v>1206726</v>
      </c>
      <c r="J236" t="s">
        <v>3263</v>
      </c>
      <c r="K236" t="s">
        <v>2869</v>
      </c>
    </row>
    <row r="237" spans="1:11" x14ac:dyDescent="0.3">
      <c r="A237" t="s">
        <v>3751</v>
      </c>
      <c r="B237" t="s">
        <v>2049</v>
      </c>
      <c r="C237" t="s">
        <v>3572</v>
      </c>
      <c r="D237" t="s">
        <v>4111</v>
      </c>
      <c r="E237" t="s">
        <v>404</v>
      </c>
      <c r="F237" s="1" t="str">
        <f>HYPERLINK("http://ovidsp.ovid.com/ovidweb.cgi?T=JS&amp;NEWS=n&amp;CSC=Y&amp;PAGE=booktext&amp;D=books&amp;AN=01439398$&amp;XPATH=/PG(0)&amp;EPUB=Y","http://ovidsp.ovid.com/ovidweb.cgi?T=JS&amp;NEWS=n&amp;CSC=Y&amp;PAGE=booktext&amp;D=books&amp;AN=01439398$&amp;XPATH=/PG(0)&amp;EPUB=Y")</f>
        <v>http://ovidsp.ovid.com/ovidweb.cgi?T=JS&amp;NEWS=n&amp;CSC=Y&amp;PAGE=booktext&amp;D=books&amp;AN=01439398$&amp;XPATH=/PG(0)&amp;EPUB=Y</v>
      </c>
      <c r="G237" t="s">
        <v>2139</v>
      </c>
      <c r="H237" t="s">
        <v>2974</v>
      </c>
      <c r="I237">
        <v>1206726</v>
      </c>
      <c r="J237" t="s">
        <v>3263</v>
      </c>
      <c r="K237" t="s">
        <v>22</v>
      </c>
    </row>
    <row r="238" spans="1:11" x14ac:dyDescent="0.3">
      <c r="A238" t="s">
        <v>2664</v>
      </c>
      <c r="B238" t="s">
        <v>3789</v>
      </c>
      <c r="C238" t="s">
        <v>614</v>
      </c>
      <c r="D238" t="s">
        <v>4111</v>
      </c>
      <c r="E238" t="s">
        <v>404</v>
      </c>
      <c r="F238" s="1" t="str">
        <f>HYPERLINK("http://ovidsp.ovid.com/ovidweb.cgi?T=JS&amp;NEWS=n&amp;CSC=Y&amp;PAGE=booktext&amp;D=books&amp;AN=01439399$&amp;XPATH=/PG(0)&amp;EPUB=Y","http://ovidsp.ovid.com/ovidweb.cgi?T=JS&amp;NEWS=n&amp;CSC=Y&amp;PAGE=booktext&amp;D=books&amp;AN=01439399$&amp;XPATH=/PG(0)&amp;EPUB=Y")</f>
        <v>http://ovidsp.ovid.com/ovidweb.cgi?T=JS&amp;NEWS=n&amp;CSC=Y&amp;PAGE=booktext&amp;D=books&amp;AN=01439399$&amp;XPATH=/PG(0)&amp;EPUB=Y</v>
      </c>
      <c r="G238" t="s">
        <v>2139</v>
      </c>
      <c r="H238" t="s">
        <v>2974</v>
      </c>
      <c r="I238">
        <v>1206726</v>
      </c>
      <c r="J238" t="s">
        <v>3263</v>
      </c>
      <c r="K238" t="s">
        <v>387</v>
      </c>
    </row>
    <row r="239" spans="1:11" x14ac:dyDescent="0.3">
      <c r="A239" t="s">
        <v>3087</v>
      </c>
      <c r="B239" t="s">
        <v>2270</v>
      </c>
      <c r="C239" t="s">
        <v>2886</v>
      </c>
      <c r="D239" t="s">
        <v>4111</v>
      </c>
      <c r="E239" t="s">
        <v>2223</v>
      </c>
      <c r="F239" s="1" t="str">
        <f>HYPERLINK("http://ovidsp.ovid.com/ovidweb.cgi?T=JS&amp;NEWS=n&amp;CSC=Y&amp;PAGE=booktext&amp;D=books&amp;AN=01279735$&amp;XPATH=/PG(0)&amp;EPUB=Y","http://ovidsp.ovid.com/ovidweb.cgi?T=JS&amp;NEWS=n&amp;CSC=Y&amp;PAGE=booktext&amp;D=books&amp;AN=01279735$&amp;XPATH=/PG(0)&amp;EPUB=Y")</f>
        <v>http://ovidsp.ovid.com/ovidweb.cgi?T=JS&amp;NEWS=n&amp;CSC=Y&amp;PAGE=booktext&amp;D=books&amp;AN=01279735$&amp;XPATH=/PG(0)&amp;EPUB=Y</v>
      </c>
      <c r="G239" t="s">
        <v>2139</v>
      </c>
      <c r="H239" t="s">
        <v>2974</v>
      </c>
      <c r="I239">
        <v>1206726</v>
      </c>
      <c r="J239" t="s">
        <v>3263</v>
      </c>
      <c r="K239" t="s">
        <v>2323</v>
      </c>
    </row>
    <row r="240" spans="1:11" x14ac:dyDescent="0.3">
      <c r="A240" t="s">
        <v>4161</v>
      </c>
      <c r="B240" t="s">
        <v>1952</v>
      </c>
      <c r="C240" t="s">
        <v>4611</v>
      </c>
      <c r="D240" t="s">
        <v>4111</v>
      </c>
      <c r="E240" t="s">
        <v>404</v>
      </c>
      <c r="F240" s="1" t="str">
        <f>HYPERLINK("http://ovidsp.ovid.com/ovidweb.cgi?T=JS&amp;NEWS=n&amp;CSC=Y&amp;PAGE=booktext&amp;D=books&amp;AN=01382767$&amp;XPATH=/PG(0)&amp;EPUB=Y","http://ovidsp.ovid.com/ovidweb.cgi?T=JS&amp;NEWS=n&amp;CSC=Y&amp;PAGE=booktext&amp;D=books&amp;AN=01382767$&amp;XPATH=/PG(0)&amp;EPUB=Y")</f>
        <v>http://ovidsp.ovid.com/ovidweb.cgi?T=JS&amp;NEWS=n&amp;CSC=Y&amp;PAGE=booktext&amp;D=books&amp;AN=01382767$&amp;XPATH=/PG(0)&amp;EPUB=Y</v>
      </c>
      <c r="G240" t="s">
        <v>2139</v>
      </c>
      <c r="H240" t="s">
        <v>2974</v>
      </c>
      <c r="I240">
        <v>1206726</v>
      </c>
      <c r="J240" t="s">
        <v>3263</v>
      </c>
      <c r="K240" t="s">
        <v>336</v>
      </c>
    </row>
    <row r="241" spans="1:11" x14ac:dyDescent="0.3">
      <c r="A241" t="s">
        <v>2751</v>
      </c>
      <c r="B241" t="s">
        <v>4555</v>
      </c>
      <c r="C241" t="s">
        <v>1399</v>
      </c>
      <c r="D241" t="s">
        <v>4111</v>
      </c>
      <c r="E241" t="s">
        <v>2223</v>
      </c>
      <c r="F241" s="1" t="str">
        <f>HYPERLINK("http://ovidsp.ovid.com/ovidweb.cgi?T=JS&amp;NEWS=n&amp;CSC=Y&amp;PAGE=booktext&amp;D=books&amp;AN=01382472$&amp;XPATH=/PG(0)&amp;EPUB=Y","http://ovidsp.ovid.com/ovidweb.cgi?T=JS&amp;NEWS=n&amp;CSC=Y&amp;PAGE=booktext&amp;D=books&amp;AN=01382472$&amp;XPATH=/PG(0)&amp;EPUB=Y")</f>
        <v>http://ovidsp.ovid.com/ovidweb.cgi?T=JS&amp;NEWS=n&amp;CSC=Y&amp;PAGE=booktext&amp;D=books&amp;AN=01382472$&amp;XPATH=/PG(0)&amp;EPUB=Y</v>
      </c>
      <c r="G241" t="s">
        <v>2139</v>
      </c>
      <c r="H241" t="s">
        <v>2974</v>
      </c>
      <c r="I241">
        <v>1206726</v>
      </c>
      <c r="J241" t="s">
        <v>3263</v>
      </c>
      <c r="K241" t="s">
        <v>3577</v>
      </c>
    </row>
    <row r="242" spans="1:11" x14ac:dyDescent="0.3">
      <c r="A242" t="s">
        <v>4259</v>
      </c>
      <c r="B242" t="s">
        <v>1527</v>
      </c>
      <c r="C242" t="s">
        <v>2289</v>
      </c>
      <c r="D242" t="s">
        <v>4111</v>
      </c>
      <c r="E242" t="s">
        <v>404</v>
      </c>
      <c r="F242" s="1" t="str">
        <f>HYPERLINK("http://ovidsp.ovid.com/ovidweb.cgi?T=JS&amp;NEWS=n&amp;CSC=Y&amp;PAGE=booktext&amp;D=books&amp;AN=01382473$&amp;XPATH=/PG(0)&amp;EPUB=Y","http://ovidsp.ovid.com/ovidweb.cgi?T=JS&amp;NEWS=n&amp;CSC=Y&amp;PAGE=booktext&amp;D=books&amp;AN=01382473$&amp;XPATH=/PG(0)&amp;EPUB=Y")</f>
        <v>http://ovidsp.ovid.com/ovidweb.cgi?T=JS&amp;NEWS=n&amp;CSC=Y&amp;PAGE=booktext&amp;D=books&amp;AN=01382473$&amp;XPATH=/PG(0)&amp;EPUB=Y</v>
      </c>
      <c r="G242" t="s">
        <v>2139</v>
      </c>
      <c r="H242" t="s">
        <v>2974</v>
      </c>
      <c r="I242">
        <v>1206726</v>
      </c>
      <c r="J242" t="s">
        <v>3263</v>
      </c>
      <c r="K242" t="s">
        <v>2345</v>
      </c>
    </row>
    <row r="243" spans="1:11" x14ac:dyDescent="0.3">
      <c r="A243" t="s">
        <v>1448</v>
      </c>
      <c r="B243" t="s">
        <v>4054</v>
      </c>
      <c r="C243" t="s">
        <v>83</v>
      </c>
      <c r="D243" t="s">
        <v>4111</v>
      </c>
      <c r="E243" t="s">
        <v>2223</v>
      </c>
      <c r="F243" s="1" t="str">
        <f>HYPERLINK("http://ovidsp.ovid.com/ovidweb.cgi?T=JS&amp;NEWS=n&amp;CSC=Y&amp;PAGE=booktext&amp;D=books&amp;AN=01382474$&amp;XPATH=/PG(0)&amp;EPUB=Y","http://ovidsp.ovid.com/ovidweb.cgi?T=JS&amp;NEWS=n&amp;CSC=Y&amp;PAGE=booktext&amp;D=books&amp;AN=01382474$&amp;XPATH=/PG(0)&amp;EPUB=Y")</f>
        <v>http://ovidsp.ovid.com/ovidweb.cgi?T=JS&amp;NEWS=n&amp;CSC=Y&amp;PAGE=booktext&amp;D=books&amp;AN=01382474$&amp;XPATH=/PG(0)&amp;EPUB=Y</v>
      </c>
      <c r="G243" t="s">
        <v>2139</v>
      </c>
      <c r="H243" t="s">
        <v>2974</v>
      </c>
      <c r="I243">
        <v>1206726</v>
      </c>
      <c r="J243" t="s">
        <v>3263</v>
      </c>
      <c r="K243" t="s">
        <v>902</v>
      </c>
    </row>
    <row r="244" spans="1:11" x14ac:dyDescent="0.3">
      <c r="A244" t="s">
        <v>2463</v>
      </c>
      <c r="B244" t="s">
        <v>3923</v>
      </c>
      <c r="C244" t="s">
        <v>3046</v>
      </c>
      <c r="D244" t="s">
        <v>4111</v>
      </c>
      <c r="E244" t="s">
        <v>404</v>
      </c>
      <c r="F244" s="1" t="str">
        <f>HYPERLINK("http://ovidsp.ovid.com/ovidweb.cgi?T=JS&amp;NEWS=n&amp;CSC=Y&amp;PAGE=booktext&amp;D=books&amp;AN=01438850$&amp;XPATH=/PG(0)&amp;EPUB=Y","http://ovidsp.ovid.com/ovidweb.cgi?T=JS&amp;NEWS=n&amp;CSC=Y&amp;PAGE=booktext&amp;D=books&amp;AN=01438850$&amp;XPATH=/PG(0)&amp;EPUB=Y")</f>
        <v>http://ovidsp.ovid.com/ovidweb.cgi?T=JS&amp;NEWS=n&amp;CSC=Y&amp;PAGE=booktext&amp;D=books&amp;AN=01438850$&amp;XPATH=/PG(0)&amp;EPUB=Y</v>
      </c>
      <c r="G244" t="s">
        <v>2139</v>
      </c>
      <c r="H244" t="s">
        <v>2974</v>
      </c>
      <c r="I244">
        <v>1206726</v>
      </c>
      <c r="J244" t="s">
        <v>3263</v>
      </c>
      <c r="K244" t="s">
        <v>4641</v>
      </c>
    </row>
    <row r="245" spans="1:11" x14ac:dyDescent="0.3">
      <c r="A245" t="s">
        <v>2050</v>
      </c>
      <c r="B245" t="s">
        <v>3947</v>
      </c>
      <c r="C245" t="s">
        <v>3313</v>
      </c>
      <c r="D245" t="s">
        <v>4111</v>
      </c>
      <c r="E245" t="s">
        <v>2223</v>
      </c>
      <c r="F245" s="1" t="str">
        <f>HYPERLINK("http://ovidsp.ovid.com/ovidweb.cgi?T=JS&amp;NEWS=n&amp;CSC=Y&amp;PAGE=booktext&amp;D=books&amp;AN=01437509$&amp;XPATH=/PG(0)&amp;EPUB=Y","http://ovidsp.ovid.com/ovidweb.cgi?T=JS&amp;NEWS=n&amp;CSC=Y&amp;PAGE=booktext&amp;D=books&amp;AN=01437509$&amp;XPATH=/PG(0)&amp;EPUB=Y")</f>
        <v>http://ovidsp.ovid.com/ovidweb.cgi?T=JS&amp;NEWS=n&amp;CSC=Y&amp;PAGE=booktext&amp;D=books&amp;AN=01437509$&amp;XPATH=/PG(0)&amp;EPUB=Y</v>
      </c>
      <c r="G245" t="s">
        <v>2139</v>
      </c>
      <c r="H245" t="s">
        <v>2974</v>
      </c>
      <c r="I245">
        <v>1206726</v>
      </c>
      <c r="J245" t="s">
        <v>3263</v>
      </c>
      <c r="K245" t="s">
        <v>2116</v>
      </c>
    </row>
    <row r="246" spans="1:11" x14ac:dyDescent="0.3">
      <c r="A246" t="s">
        <v>1069</v>
      </c>
      <c r="B246" t="s">
        <v>1704</v>
      </c>
      <c r="C246" t="s">
        <v>448</v>
      </c>
      <c r="D246" t="s">
        <v>4111</v>
      </c>
      <c r="E246" t="s">
        <v>2223</v>
      </c>
      <c r="F246" s="1" t="str">
        <f>HYPERLINK("http://ovidsp.ovid.com/ovidweb.cgi?T=JS&amp;NEWS=n&amp;CSC=Y&amp;PAGE=booktext&amp;D=books&amp;AN=01382511$&amp;XPATH=/PG(0)&amp;EPUB=Y","http://ovidsp.ovid.com/ovidweb.cgi?T=JS&amp;NEWS=n&amp;CSC=Y&amp;PAGE=booktext&amp;D=books&amp;AN=01382511$&amp;XPATH=/PG(0)&amp;EPUB=Y")</f>
        <v>http://ovidsp.ovid.com/ovidweb.cgi?T=JS&amp;NEWS=n&amp;CSC=Y&amp;PAGE=booktext&amp;D=books&amp;AN=01382511$&amp;XPATH=/PG(0)&amp;EPUB=Y</v>
      </c>
      <c r="G246" t="s">
        <v>2139</v>
      </c>
      <c r="H246" t="s">
        <v>2974</v>
      </c>
      <c r="I246">
        <v>1206726</v>
      </c>
      <c r="J246" t="s">
        <v>3263</v>
      </c>
      <c r="K246" t="s">
        <v>4146</v>
      </c>
    </row>
    <row r="247" spans="1:11" x14ac:dyDescent="0.3">
      <c r="A247" t="s">
        <v>1564</v>
      </c>
      <c r="B247" t="s">
        <v>748</v>
      </c>
      <c r="C247" t="s">
        <v>950</v>
      </c>
      <c r="D247" t="s">
        <v>4111</v>
      </c>
      <c r="E247" t="s">
        <v>2223</v>
      </c>
      <c r="F247" s="1" t="str">
        <f>HYPERLINK("http://ovidsp.ovid.com/ovidweb.cgi?T=JS&amp;NEWS=n&amp;CSC=Y&amp;PAGE=booktext&amp;D=books&amp;AN=01382512$&amp;XPATH=/PG(0)&amp;EPUB=Y","http://ovidsp.ovid.com/ovidweb.cgi?T=JS&amp;NEWS=n&amp;CSC=Y&amp;PAGE=booktext&amp;D=books&amp;AN=01382512$&amp;XPATH=/PG(0)&amp;EPUB=Y")</f>
        <v>http://ovidsp.ovid.com/ovidweb.cgi?T=JS&amp;NEWS=n&amp;CSC=Y&amp;PAGE=booktext&amp;D=books&amp;AN=01382512$&amp;XPATH=/PG(0)&amp;EPUB=Y</v>
      </c>
      <c r="G247" t="s">
        <v>2139</v>
      </c>
      <c r="H247" t="s">
        <v>2974</v>
      </c>
      <c r="I247">
        <v>1206726</v>
      </c>
      <c r="J247" t="s">
        <v>3263</v>
      </c>
      <c r="K247" t="s">
        <v>2519</v>
      </c>
    </row>
    <row r="248" spans="1:11" x14ac:dyDescent="0.3">
      <c r="A248" t="s">
        <v>4603</v>
      </c>
      <c r="B248" t="s">
        <v>3898</v>
      </c>
      <c r="C248" t="s">
        <v>605</v>
      </c>
      <c r="D248" t="s">
        <v>4111</v>
      </c>
      <c r="E248" t="s">
        <v>2223</v>
      </c>
      <c r="F248" s="1" t="str">
        <f>HYPERLINK("http://ovidsp.ovid.com/ovidweb.cgi?T=JS&amp;NEWS=n&amp;CSC=Y&amp;PAGE=booktext&amp;D=books&amp;AN=01382515$&amp;XPATH=/PG(0)&amp;EPUB=Y","http://ovidsp.ovid.com/ovidweb.cgi?T=JS&amp;NEWS=n&amp;CSC=Y&amp;PAGE=booktext&amp;D=books&amp;AN=01382515$&amp;XPATH=/PG(0)&amp;EPUB=Y")</f>
        <v>http://ovidsp.ovid.com/ovidweb.cgi?T=JS&amp;NEWS=n&amp;CSC=Y&amp;PAGE=booktext&amp;D=books&amp;AN=01382515$&amp;XPATH=/PG(0)&amp;EPUB=Y</v>
      </c>
      <c r="G248" t="s">
        <v>2139</v>
      </c>
      <c r="H248" t="s">
        <v>2974</v>
      </c>
      <c r="I248">
        <v>1206726</v>
      </c>
      <c r="J248" t="s">
        <v>3263</v>
      </c>
      <c r="K248" t="s">
        <v>439</v>
      </c>
    </row>
    <row r="249" spans="1:11" x14ac:dyDescent="0.3">
      <c r="A249" t="s">
        <v>2906</v>
      </c>
      <c r="B249" t="s">
        <v>2890</v>
      </c>
      <c r="C249" t="s">
        <v>2968</v>
      </c>
      <c r="D249" t="s">
        <v>4111</v>
      </c>
      <c r="E249" t="s">
        <v>2223</v>
      </c>
      <c r="F249" s="1" t="str">
        <f>HYPERLINK("http://ovidsp.ovid.com/ovidweb.cgi?T=JS&amp;NEWS=n&amp;CSC=Y&amp;PAGE=booktext&amp;D=books&amp;AN=01337525$&amp;XPATH=/PG(0)&amp;EPUB=Y","http://ovidsp.ovid.com/ovidweb.cgi?T=JS&amp;NEWS=n&amp;CSC=Y&amp;PAGE=booktext&amp;D=books&amp;AN=01337525$&amp;XPATH=/PG(0)&amp;EPUB=Y")</f>
        <v>http://ovidsp.ovid.com/ovidweb.cgi?T=JS&amp;NEWS=n&amp;CSC=Y&amp;PAGE=booktext&amp;D=books&amp;AN=01337525$&amp;XPATH=/PG(0)&amp;EPUB=Y</v>
      </c>
      <c r="G249" t="s">
        <v>2139</v>
      </c>
      <c r="H249" t="s">
        <v>2974</v>
      </c>
      <c r="I249">
        <v>1206726</v>
      </c>
      <c r="J249" t="s">
        <v>3263</v>
      </c>
      <c r="K249" t="s">
        <v>4728</v>
      </c>
    </row>
    <row r="250" spans="1:11" x14ac:dyDescent="0.3">
      <c r="A250" t="s">
        <v>1233</v>
      </c>
      <c r="B250" t="s">
        <v>170</v>
      </c>
      <c r="C250" t="s">
        <v>4085</v>
      </c>
      <c r="D250" t="s">
        <v>4111</v>
      </c>
      <c r="E250" t="s">
        <v>3051</v>
      </c>
      <c r="F250" s="1" t="str">
        <f>HYPERLINK("http://ovidsp.ovid.com/ovidweb.cgi?T=JS&amp;NEWS=n&amp;CSC=Y&amp;PAGE=booktext&amp;D=books&amp;AN=01438851$&amp;XPATH=/PG(0)&amp;EPUB=Y","http://ovidsp.ovid.com/ovidweb.cgi?T=JS&amp;NEWS=n&amp;CSC=Y&amp;PAGE=booktext&amp;D=books&amp;AN=01438851$&amp;XPATH=/PG(0)&amp;EPUB=Y")</f>
        <v>http://ovidsp.ovid.com/ovidweb.cgi?T=JS&amp;NEWS=n&amp;CSC=Y&amp;PAGE=booktext&amp;D=books&amp;AN=01438851$&amp;XPATH=/PG(0)&amp;EPUB=Y</v>
      </c>
      <c r="G250" t="s">
        <v>2139</v>
      </c>
      <c r="H250" t="s">
        <v>2974</v>
      </c>
      <c r="I250">
        <v>1206726</v>
      </c>
      <c r="J250" t="s">
        <v>3263</v>
      </c>
      <c r="K250" t="s">
        <v>1373</v>
      </c>
    </row>
    <row r="251" spans="1:11" x14ac:dyDescent="0.3">
      <c r="A251" t="s">
        <v>4681</v>
      </c>
      <c r="B251" t="s">
        <v>655</v>
      </c>
      <c r="C251" t="s">
        <v>283</v>
      </c>
      <c r="D251" t="s">
        <v>4111</v>
      </c>
      <c r="E251" t="s">
        <v>2223</v>
      </c>
      <c r="F251" s="1" t="str">
        <f>HYPERLINK("http://ovidsp.ovid.com/ovidweb.cgi?T=JS&amp;NEWS=n&amp;CSC=Y&amp;PAGE=booktext&amp;D=books&amp;AN=01382516$&amp;XPATH=/PG(0)&amp;EPUB=Y","http://ovidsp.ovid.com/ovidweb.cgi?T=JS&amp;NEWS=n&amp;CSC=Y&amp;PAGE=booktext&amp;D=books&amp;AN=01382516$&amp;XPATH=/PG(0)&amp;EPUB=Y")</f>
        <v>http://ovidsp.ovid.com/ovidweb.cgi?T=JS&amp;NEWS=n&amp;CSC=Y&amp;PAGE=booktext&amp;D=books&amp;AN=01382516$&amp;XPATH=/PG(0)&amp;EPUB=Y</v>
      </c>
      <c r="G251" t="s">
        <v>2139</v>
      </c>
      <c r="H251" t="s">
        <v>2974</v>
      </c>
      <c r="I251">
        <v>1206726</v>
      </c>
      <c r="J251" t="s">
        <v>3263</v>
      </c>
      <c r="K251" t="s">
        <v>1882</v>
      </c>
    </row>
    <row r="252" spans="1:11" x14ac:dyDescent="0.3">
      <c r="A252" t="s">
        <v>1070</v>
      </c>
      <c r="B252" t="s">
        <v>2627</v>
      </c>
      <c r="C252" t="s">
        <v>2087</v>
      </c>
      <c r="D252" t="s">
        <v>4111</v>
      </c>
      <c r="E252" t="s">
        <v>404</v>
      </c>
      <c r="F252" s="1" t="str">
        <f>HYPERLINK("http://ovidsp.ovid.com/ovidweb.cgi?T=JS&amp;NEWS=n&amp;CSC=Y&amp;PAGE=booktext&amp;D=books&amp;AN=01437510$&amp;XPATH=/PG(0)&amp;EPUB=Y","http://ovidsp.ovid.com/ovidweb.cgi?T=JS&amp;NEWS=n&amp;CSC=Y&amp;PAGE=booktext&amp;D=books&amp;AN=01437510$&amp;XPATH=/PG(0)&amp;EPUB=Y")</f>
        <v>http://ovidsp.ovid.com/ovidweb.cgi?T=JS&amp;NEWS=n&amp;CSC=Y&amp;PAGE=booktext&amp;D=books&amp;AN=01437510$&amp;XPATH=/PG(0)&amp;EPUB=Y</v>
      </c>
      <c r="G252" t="s">
        <v>2139</v>
      </c>
      <c r="H252" t="s">
        <v>2974</v>
      </c>
      <c r="I252">
        <v>1206726</v>
      </c>
      <c r="J252" t="s">
        <v>3263</v>
      </c>
      <c r="K252" t="s">
        <v>1943</v>
      </c>
    </row>
    <row r="253" spans="1:11" x14ac:dyDescent="0.3">
      <c r="A253" t="s">
        <v>4459</v>
      </c>
      <c r="B253" t="s">
        <v>2799</v>
      </c>
      <c r="C253" t="s">
        <v>767</v>
      </c>
      <c r="D253" t="s">
        <v>4111</v>
      </c>
      <c r="E253" t="s">
        <v>3051</v>
      </c>
      <c r="F253" s="1" t="str">
        <f>HYPERLINK("http://ovidsp.ovid.com/ovidweb.cgi?T=JS&amp;NEWS=n&amp;CSC=Y&amp;PAGE=booktext&amp;D=books&amp;AN=01256999$&amp;XPATH=/PG(0)&amp;EPUB=Y","http://ovidsp.ovid.com/ovidweb.cgi?T=JS&amp;NEWS=n&amp;CSC=Y&amp;PAGE=booktext&amp;D=books&amp;AN=01256999$&amp;XPATH=/PG(0)&amp;EPUB=Y")</f>
        <v>http://ovidsp.ovid.com/ovidweb.cgi?T=JS&amp;NEWS=n&amp;CSC=Y&amp;PAGE=booktext&amp;D=books&amp;AN=01256999$&amp;XPATH=/PG(0)&amp;EPUB=Y</v>
      </c>
      <c r="G253" t="s">
        <v>2139</v>
      </c>
      <c r="H253" t="s">
        <v>2974</v>
      </c>
      <c r="I253">
        <v>1206726</v>
      </c>
      <c r="J253" t="s">
        <v>3263</v>
      </c>
      <c r="K253" t="s">
        <v>4352</v>
      </c>
    </row>
    <row r="254" spans="1:11" x14ac:dyDescent="0.3">
      <c r="A254" t="s">
        <v>508</v>
      </c>
      <c r="B254" t="s">
        <v>4472</v>
      </c>
      <c r="C254" t="s">
        <v>3279</v>
      </c>
      <c r="D254" t="s">
        <v>4111</v>
      </c>
      <c r="E254" t="s">
        <v>2223</v>
      </c>
      <c r="F254" s="1" t="str">
        <f>HYPERLINK("http://ovidsp.ovid.com/ovidweb.cgi?T=JS&amp;NEWS=n&amp;CSC=Y&amp;PAGE=booktext&amp;D=books&amp;AN=01337672$&amp;XPATH=/PG(0)&amp;EPUB=Y","http://ovidsp.ovid.com/ovidweb.cgi?T=JS&amp;NEWS=n&amp;CSC=Y&amp;PAGE=booktext&amp;D=books&amp;AN=01337672$&amp;XPATH=/PG(0)&amp;EPUB=Y")</f>
        <v>http://ovidsp.ovid.com/ovidweb.cgi?T=JS&amp;NEWS=n&amp;CSC=Y&amp;PAGE=booktext&amp;D=books&amp;AN=01337672$&amp;XPATH=/PG(0)&amp;EPUB=Y</v>
      </c>
      <c r="G254" t="s">
        <v>2139</v>
      </c>
      <c r="H254" t="s">
        <v>2974</v>
      </c>
      <c r="I254">
        <v>1206726</v>
      </c>
      <c r="J254" t="s">
        <v>3263</v>
      </c>
      <c r="K254" t="s">
        <v>1624</v>
      </c>
    </row>
    <row r="255" spans="1:11" x14ac:dyDescent="0.3">
      <c r="A255" t="s">
        <v>3909</v>
      </c>
      <c r="B255" t="s">
        <v>4726</v>
      </c>
      <c r="C255" t="s">
        <v>2850</v>
      </c>
      <c r="D255" t="s">
        <v>4111</v>
      </c>
      <c r="E255" t="s">
        <v>2223</v>
      </c>
      <c r="F255" s="1" t="str">
        <f>HYPERLINK("http://ovidsp.ovid.com/ovidweb.cgi?T=JS&amp;NEWS=n&amp;CSC=Y&amp;PAGE=booktext&amp;D=books&amp;AN=01279725$&amp;XPATH=/PG(0)&amp;EPUB=Y","http://ovidsp.ovid.com/ovidweb.cgi?T=JS&amp;NEWS=n&amp;CSC=Y&amp;PAGE=booktext&amp;D=books&amp;AN=01279725$&amp;XPATH=/PG(0)&amp;EPUB=Y")</f>
        <v>http://ovidsp.ovid.com/ovidweb.cgi?T=JS&amp;NEWS=n&amp;CSC=Y&amp;PAGE=booktext&amp;D=books&amp;AN=01279725$&amp;XPATH=/PG(0)&amp;EPUB=Y</v>
      </c>
      <c r="G255" t="s">
        <v>2139</v>
      </c>
      <c r="H255" t="s">
        <v>2974</v>
      </c>
      <c r="I255">
        <v>1206726</v>
      </c>
      <c r="J255" t="s">
        <v>3263</v>
      </c>
      <c r="K255" t="s">
        <v>620</v>
      </c>
    </row>
    <row r="256" spans="1:11" x14ac:dyDescent="0.3">
      <c r="A256" t="s">
        <v>841</v>
      </c>
      <c r="B256" t="s">
        <v>4594</v>
      </c>
      <c r="C256" t="s">
        <v>235</v>
      </c>
      <c r="D256" t="s">
        <v>4111</v>
      </c>
      <c r="E256" t="s">
        <v>2223</v>
      </c>
      <c r="F256" s="1" t="str">
        <f>HYPERLINK("http://ovidsp.ovid.com/ovidweb.cgi?T=JS&amp;NEWS=n&amp;CSC=Y&amp;PAGE=booktext&amp;D=books&amp;AN=01439400$&amp;XPATH=/PG(0)&amp;EPUB=Y","http://ovidsp.ovid.com/ovidweb.cgi?T=JS&amp;NEWS=n&amp;CSC=Y&amp;PAGE=booktext&amp;D=books&amp;AN=01439400$&amp;XPATH=/PG(0)&amp;EPUB=Y")</f>
        <v>http://ovidsp.ovid.com/ovidweb.cgi?T=JS&amp;NEWS=n&amp;CSC=Y&amp;PAGE=booktext&amp;D=books&amp;AN=01439400$&amp;XPATH=/PG(0)&amp;EPUB=Y</v>
      </c>
      <c r="G256" t="s">
        <v>2139</v>
      </c>
      <c r="H256" t="s">
        <v>2974</v>
      </c>
      <c r="I256">
        <v>1206726</v>
      </c>
      <c r="J256" t="s">
        <v>3263</v>
      </c>
      <c r="K256" t="s">
        <v>1428</v>
      </c>
    </row>
    <row r="257" spans="1:11" x14ac:dyDescent="0.3">
      <c r="A257" t="s">
        <v>2941</v>
      </c>
      <c r="B257" t="s">
        <v>1561</v>
      </c>
      <c r="C257" t="s">
        <v>3412</v>
      </c>
      <c r="D257" t="s">
        <v>4111</v>
      </c>
      <c r="E257" t="s">
        <v>1104</v>
      </c>
      <c r="F257" s="1" t="str">
        <f>HYPERLINK("http://ovidsp.ovid.com/ovidweb.cgi?T=JS&amp;NEWS=n&amp;CSC=Y&amp;PAGE=booktext&amp;D=books&amp;AN=01256962$&amp;XPATH=/PG(0)&amp;EPUB=Y","http://ovidsp.ovid.com/ovidweb.cgi?T=JS&amp;NEWS=n&amp;CSC=Y&amp;PAGE=booktext&amp;D=books&amp;AN=01256962$&amp;XPATH=/PG(0)&amp;EPUB=Y")</f>
        <v>http://ovidsp.ovid.com/ovidweb.cgi?T=JS&amp;NEWS=n&amp;CSC=Y&amp;PAGE=booktext&amp;D=books&amp;AN=01256962$&amp;XPATH=/PG(0)&amp;EPUB=Y</v>
      </c>
      <c r="G257" t="s">
        <v>2139</v>
      </c>
      <c r="H257" t="s">
        <v>2974</v>
      </c>
      <c r="I257">
        <v>1206726</v>
      </c>
      <c r="J257" t="s">
        <v>3263</v>
      </c>
      <c r="K257" t="s">
        <v>1665</v>
      </c>
    </row>
    <row r="258" spans="1:11" x14ac:dyDescent="0.3">
      <c r="A258" t="s">
        <v>4575</v>
      </c>
      <c r="B258" t="s">
        <v>642</v>
      </c>
      <c r="C258" t="s">
        <v>3111</v>
      </c>
      <c r="D258" t="s">
        <v>4111</v>
      </c>
      <c r="E258" t="s">
        <v>1104</v>
      </c>
      <c r="F258" s="1" t="str">
        <f>HYPERLINK("http://ovidsp.ovid.com/ovidweb.cgi?T=JS&amp;NEWS=n&amp;CSC=Y&amp;PAGE=booktext&amp;D=books&amp;AN=01382884$&amp;XPATH=/PG(0)&amp;EPUB=Y","http://ovidsp.ovid.com/ovidweb.cgi?T=JS&amp;NEWS=n&amp;CSC=Y&amp;PAGE=booktext&amp;D=books&amp;AN=01382884$&amp;XPATH=/PG(0)&amp;EPUB=Y")</f>
        <v>http://ovidsp.ovid.com/ovidweb.cgi?T=JS&amp;NEWS=n&amp;CSC=Y&amp;PAGE=booktext&amp;D=books&amp;AN=01382884$&amp;XPATH=/PG(0)&amp;EPUB=Y</v>
      </c>
      <c r="G258" t="s">
        <v>2139</v>
      </c>
      <c r="H258" t="s">
        <v>2974</v>
      </c>
      <c r="I258">
        <v>1206726</v>
      </c>
      <c r="J258" t="s">
        <v>3263</v>
      </c>
      <c r="K258" t="s">
        <v>4413</v>
      </c>
    </row>
    <row r="259" spans="1:11" x14ac:dyDescent="0.3">
      <c r="A259" t="s">
        <v>68</v>
      </c>
      <c r="B259" t="s">
        <v>2812</v>
      </c>
      <c r="C259" t="s">
        <v>846</v>
      </c>
      <c r="D259" t="s">
        <v>4111</v>
      </c>
      <c r="E259" t="s">
        <v>2223</v>
      </c>
      <c r="F259" s="1" t="str">
        <f>HYPERLINK("http://ovidsp.ovid.com/ovidweb.cgi?T=JS&amp;NEWS=n&amp;CSC=Y&amp;PAGE=booktext&amp;D=books&amp;AN=01382517$&amp;XPATH=/PG(0)&amp;EPUB=Y","http://ovidsp.ovid.com/ovidweb.cgi?T=JS&amp;NEWS=n&amp;CSC=Y&amp;PAGE=booktext&amp;D=books&amp;AN=01382517$&amp;XPATH=/PG(0)&amp;EPUB=Y")</f>
        <v>http://ovidsp.ovid.com/ovidweb.cgi?T=JS&amp;NEWS=n&amp;CSC=Y&amp;PAGE=booktext&amp;D=books&amp;AN=01382517$&amp;XPATH=/PG(0)&amp;EPUB=Y</v>
      </c>
      <c r="G259" t="s">
        <v>2139</v>
      </c>
      <c r="H259" t="s">
        <v>2974</v>
      </c>
      <c r="I259">
        <v>1206726</v>
      </c>
      <c r="J259" t="s">
        <v>3263</v>
      </c>
      <c r="K259" t="s">
        <v>452</v>
      </c>
    </row>
    <row r="260" spans="1:11" x14ac:dyDescent="0.3">
      <c r="A260" t="s">
        <v>2290</v>
      </c>
      <c r="B260" t="s">
        <v>4076</v>
      </c>
      <c r="C260" t="s">
        <v>759</v>
      </c>
      <c r="D260" t="s">
        <v>4111</v>
      </c>
      <c r="E260" t="s">
        <v>2223</v>
      </c>
      <c r="F260" s="1" t="str">
        <f>HYPERLINK("http://ovidsp.ovid.com/ovidweb.cgi?T=JS&amp;NEWS=n&amp;CSC=Y&amp;PAGE=booktext&amp;D=books&amp;AN=01257038$&amp;XPATH=/PG(0)&amp;EPUB=Y","http://ovidsp.ovid.com/ovidweb.cgi?T=JS&amp;NEWS=n&amp;CSC=Y&amp;PAGE=booktext&amp;D=books&amp;AN=01257038$&amp;XPATH=/PG(0)&amp;EPUB=Y")</f>
        <v>http://ovidsp.ovid.com/ovidweb.cgi?T=JS&amp;NEWS=n&amp;CSC=Y&amp;PAGE=booktext&amp;D=books&amp;AN=01257038$&amp;XPATH=/PG(0)&amp;EPUB=Y</v>
      </c>
      <c r="G260" t="s">
        <v>2139</v>
      </c>
      <c r="H260" t="s">
        <v>2974</v>
      </c>
      <c r="I260">
        <v>1206726</v>
      </c>
      <c r="J260" t="s">
        <v>3263</v>
      </c>
      <c r="K260" t="s">
        <v>3130</v>
      </c>
    </row>
    <row r="261" spans="1:11" x14ac:dyDescent="0.3">
      <c r="A261" t="s">
        <v>4231</v>
      </c>
      <c r="B261" t="s">
        <v>697</v>
      </c>
      <c r="C261" t="s">
        <v>986</v>
      </c>
      <c r="D261" t="s">
        <v>4111</v>
      </c>
      <c r="E261" t="s">
        <v>2223</v>
      </c>
      <c r="F261" s="1" t="str">
        <f>HYPERLINK("http://ovidsp.ovid.com/ovidweb.cgi?T=JS&amp;NEWS=n&amp;CSC=Y&amp;PAGE=booktext&amp;D=books&amp;AN=01382637$&amp;XPATH=/PG(0)&amp;EPUB=Y","http://ovidsp.ovid.com/ovidweb.cgi?T=JS&amp;NEWS=n&amp;CSC=Y&amp;PAGE=booktext&amp;D=books&amp;AN=01382637$&amp;XPATH=/PG(0)&amp;EPUB=Y")</f>
        <v>http://ovidsp.ovid.com/ovidweb.cgi?T=JS&amp;NEWS=n&amp;CSC=Y&amp;PAGE=booktext&amp;D=books&amp;AN=01382637$&amp;XPATH=/PG(0)&amp;EPUB=Y</v>
      </c>
      <c r="G261" t="s">
        <v>2139</v>
      </c>
      <c r="H261" t="s">
        <v>2974</v>
      </c>
      <c r="I261">
        <v>1206726</v>
      </c>
      <c r="J261" t="s">
        <v>3263</v>
      </c>
      <c r="K261" t="s">
        <v>2731</v>
      </c>
    </row>
    <row r="262" spans="1:11" x14ac:dyDescent="0.3">
      <c r="A262" t="s">
        <v>522</v>
      </c>
      <c r="B262" t="s">
        <v>951</v>
      </c>
      <c r="C262" t="s">
        <v>4280</v>
      </c>
      <c r="D262" t="s">
        <v>4111</v>
      </c>
      <c r="E262" t="s">
        <v>2223</v>
      </c>
      <c r="F262" s="1" t="str">
        <f>HYPERLINK("http://ovidsp.ovid.com/ovidweb.cgi?T=JS&amp;NEWS=n&amp;CSC=Y&amp;PAGE=booktext&amp;D=books&amp;AN=01257039$&amp;XPATH=/PG(0)&amp;EPUB=Y","http://ovidsp.ovid.com/ovidweb.cgi?T=JS&amp;NEWS=n&amp;CSC=Y&amp;PAGE=booktext&amp;D=books&amp;AN=01257039$&amp;XPATH=/PG(0)&amp;EPUB=Y")</f>
        <v>http://ovidsp.ovid.com/ovidweb.cgi?T=JS&amp;NEWS=n&amp;CSC=Y&amp;PAGE=booktext&amp;D=books&amp;AN=01257039$&amp;XPATH=/PG(0)&amp;EPUB=Y</v>
      </c>
      <c r="G262" t="s">
        <v>2139</v>
      </c>
      <c r="H262" t="s">
        <v>2974</v>
      </c>
      <c r="I262">
        <v>1206726</v>
      </c>
      <c r="J262" t="s">
        <v>3263</v>
      </c>
      <c r="K262" t="s">
        <v>3694</v>
      </c>
    </row>
    <row r="263" spans="1:11" x14ac:dyDescent="0.3">
      <c r="A263" t="s">
        <v>4547</v>
      </c>
      <c r="B263" t="s">
        <v>4171</v>
      </c>
      <c r="C263" t="s">
        <v>2766</v>
      </c>
      <c r="D263" t="s">
        <v>4111</v>
      </c>
      <c r="E263" t="s">
        <v>2223</v>
      </c>
      <c r="F263" s="1" t="str">
        <f>HYPERLINK("http://ovidsp.ovid.com/ovidweb.cgi?T=JS&amp;NEWS=n&amp;CSC=Y&amp;PAGE=booktext&amp;D=books&amp;AN=01382893$&amp;XPATH=/PG(0)&amp;EPUB=Y","http://ovidsp.ovid.com/ovidweb.cgi?T=JS&amp;NEWS=n&amp;CSC=Y&amp;PAGE=booktext&amp;D=books&amp;AN=01382893$&amp;XPATH=/PG(0)&amp;EPUB=Y")</f>
        <v>http://ovidsp.ovid.com/ovidweb.cgi?T=JS&amp;NEWS=n&amp;CSC=Y&amp;PAGE=booktext&amp;D=books&amp;AN=01382893$&amp;XPATH=/PG(0)&amp;EPUB=Y</v>
      </c>
      <c r="G263" t="s">
        <v>2139</v>
      </c>
      <c r="H263" t="s">
        <v>2974</v>
      </c>
      <c r="I263">
        <v>1206726</v>
      </c>
      <c r="J263" t="s">
        <v>3263</v>
      </c>
      <c r="K263" t="s">
        <v>4281</v>
      </c>
    </row>
    <row r="264" spans="1:11" x14ac:dyDescent="0.3">
      <c r="A264" t="s">
        <v>2573</v>
      </c>
      <c r="B264" t="s">
        <v>1663</v>
      </c>
      <c r="C264" t="s">
        <v>1812</v>
      </c>
      <c r="D264" t="s">
        <v>4111</v>
      </c>
      <c r="E264" t="s">
        <v>2876</v>
      </c>
      <c r="F264" s="1" t="str">
        <f>HYPERLINK("http://ovidsp.ovid.com/ovidweb.cgi?T=JS&amp;NEWS=n&amp;CSC=Y&amp;PAGE=booktext&amp;D=books&amp;AN=01437410$&amp;XPATH=/PG(0)&amp;EPUB=Y","http://ovidsp.ovid.com/ovidweb.cgi?T=JS&amp;NEWS=n&amp;CSC=Y&amp;PAGE=booktext&amp;D=books&amp;AN=01437410$&amp;XPATH=/PG(0)&amp;EPUB=Y")</f>
        <v>http://ovidsp.ovid.com/ovidweb.cgi?T=JS&amp;NEWS=n&amp;CSC=Y&amp;PAGE=booktext&amp;D=books&amp;AN=01437410$&amp;XPATH=/PG(0)&amp;EPUB=Y</v>
      </c>
      <c r="G264" t="s">
        <v>2139</v>
      </c>
      <c r="H264" t="s">
        <v>2974</v>
      </c>
      <c r="I264">
        <v>1206726</v>
      </c>
      <c r="J264" t="s">
        <v>3263</v>
      </c>
      <c r="K264" t="s">
        <v>1832</v>
      </c>
    </row>
    <row r="265" spans="1:11" x14ac:dyDescent="0.3">
      <c r="A265" t="s">
        <v>1944</v>
      </c>
      <c r="B265" t="s">
        <v>3622</v>
      </c>
      <c r="C265" t="s">
        <v>2117</v>
      </c>
      <c r="D265" t="s">
        <v>4111</v>
      </c>
      <c r="E265" t="s">
        <v>3051</v>
      </c>
      <c r="F265" s="1" t="str">
        <f>HYPERLINK("http://ovidsp.ovid.com/ovidweb.cgi?T=JS&amp;NEWS=n&amp;CSC=Y&amp;PAGE=booktext&amp;D=books&amp;AN=01435754$&amp;XPATH=/PG(0)&amp;EPUB=Y","http://ovidsp.ovid.com/ovidweb.cgi?T=JS&amp;NEWS=n&amp;CSC=Y&amp;PAGE=booktext&amp;D=books&amp;AN=01435754$&amp;XPATH=/PG(0)&amp;EPUB=Y")</f>
        <v>http://ovidsp.ovid.com/ovidweb.cgi?T=JS&amp;NEWS=n&amp;CSC=Y&amp;PAGE=booktext&amp;D=books&amp;AN=01435754$&amp;XPATH=/PG(0)&amp;EPUB=Y</v>
      </c>
      <c r="G265" t="s">
        <v>2139</v>
      </c>
      <c r="H265" t="s">
        <v>2974</v>
      </c>
      <c r="I265">
        <v>1206726</v>
      </c>
      <c r="J265" t="s">
        <v>3263</v>
      </c>
      <c r="K265" t="s">
        <v>3462</v>
      </c>
    </row>
    <row r="266" spans="1:11" x14ac:dyDescent="0.3">
      <c r="A266" t="s">
        <v>1944</v>
      </c>
      <c r="B266" t="s">
        <v>2200</v>
      </c>
      <c r="C266" t="s">
        <v>3288</v>
      </c>
      <c r="D266" t="s">
        <v>4111</v>
      </c>
      <c r="E266" t="s">
        <v>1104</v>
      </c>
      <c r="F266" s="1" t="str">
        <f>HYPERLINK("http://ovidsp.ovid.com/ovidweb.cgi?T=JS&amp;NEWS=n&amp;CSC=Y&amp;PAGE=booktext&amp;D=books&amp;AN=01382477$&amp;XPATH=/PG(0)&amp;EPUB=Y","http://ovidsp.ovid.com/ovidweb.cgi?T=JS&amp;NEWS=n&amp;CSC=Y&amp;PAGE=booktext&amp;D=books&amp;AN=01382477$&amp;XPATH=/PG(0)&amp;EPUB=Y")</f>
        <v>http://ovidsp.ovid.com/ovidweb.cgi?T=JS&amp;NEWS=n&amp;CSC=Y&amp;PAGE=booktext&amp;D=books&amp;AN=01382477$&amp;XPATH=/PG(0)&amp;EPUB=Y</v>
      </c>
      <c r="G266" t="s">
        <v>2139</v>
      </c>
      <c r="H266" t="s">
        <v>2974</v>
      </c>
      <c r="I266">
        <v>1206726</v>
      </c>
      <c r="J266" t="s">
        <v>3263</v>
      </c>
      <c r="K266" t="s">
        <v>4556</v>
      </c>
    </row>
    <row r="267" spans="1:11" x14ac:dyDescent="0.3">
      <c r="A267" t="s">
        <v>732</v>
      </c>
      <c r="B267" t="s">
        <v>790</v>
      </c>
      <c r="C267" t="s">
        <v>1208</v>
      </c>
      <c r="D267" t="s">
        <v>4111</v>
      </c>
      <c r="E267" t="s">
        <v>2223</v>
      </c>
      <c r="F267" s="1" t="str">
        <f>HYPERLINK("http://ovidsp.ovid.com/ovidweb.cgi?T=JS&amp;NEWS=n&amp;CSC=Y&amp;PAGE=booktext&amp;D=books&amp;AN=01382723$&amp;XPATH=/PG(0)&amp;EPUB=Y","http://ovidsp.ovid.com/ovidweb.cgi?T=JS&amp;NEWS=n&amp;CSC=Y&amp;PAGE=booktext&amp;D=books&amp;AN=01382723$&amp;XPATH=/PG(0)&amp;EPUB=Y")</f>
        <v>http://ovidsp.ovid.com/ovidweb.cgi?T=JS&amp;NEWS=n&amp;CSC=Y&amp;PAGE=booktext&amp;D=books&amp;AN=01382723$&amp;XPATH=/PG(0)&amp;EPUB=Y</v>
      </c>
      <c r="G267" t="s">
        <v>2139</v>
      </c>
      <c r="H267" t="s">
        <v>2974</v>
      </c>
      <c r="I267">
        <v>1206726</v>
      </c>
      <c r="J267" t="s">
        <v>3263</v>
      </c>
      <c r="K267" t="s">
        <v>4615</v>
      </c>
    </row>
    <row r="268" spans="1:11" x14ac:dyDescent="0.3">
      <c r="A268" t="s">
        <v>4454</v>
      </c>
      <c r="B268" t="s">
        <v>3872</v>
      </c>
      <c r="C268" t="s">
        <v>3913</v>
      </c>
      <c r="D268" t="s">
        <v>4111</v>
      </c>
      <c r="E268" t="s">
        <v>1104</v>
      </c>
      <c r="F268" s="1" t="str">
        <f>HYPERLINK("http://ovidsp.ovid.com/ovidweb.cgi?T=JS&amp;NEWS=n&amp;CSC=Y&amp;PAGE=booktext&amp;D=books&amp;AN=01745971$&amp;XPATH=/PG(0)&amp;EPUB=Y","http://ovidsp.ovid.com/ovidweb.cgi?T=JS&amp;NEWS=n&amp;CSC=Y&amp;PAGE=booktext&amp;D=books&amp;AN=01745971$&amp;XPATH=/PG(0)&amp;EPUB=Y")</f>
        <v>http://ovidsp.ovid.com/ovidweb.cgi?T=JS&amp;NEWS=n&amp;CSC=Y&amp;PAGE=booktext&amp;D=books&amp;AN=01745971$&amp;XPATH=/PG(0)&amp;EPUB=Y</v>
      </c>
      <c r="G268" t="s">
        <v>2139</v>
      </c>
      <c r="H268" t="s">
        <v>2974</v>
      </c>
      <c r="I268">
        <v>1206726</v>
      </c>
      <c r="J268" t="s">
        <v>3263</v>
      </c>
      <c r="K268" t="s">
        <v>298</v>
      </c>
    </row>
    <row r="269" spans="1:11" x14ac:dyDescent="0.3">
      <c r="A269" t="s">
        <v>4274</v>
      </c>
      <c r="B269" t="s">
        <v>4714</v>
      </c>
      <c r="C269" t="s">
        <v>4275</v>
      </c>
      <c r="D269" t="s">
        <v>4111</v>
      </c>
      <c r="E269" t="s">
        <v>404</v>
      </c>
      <c r="F269" s="1" t="str">
        <f>HYPERLINK("http://ovidsp.ovid.com/ovidweb.cgi?T=JS&amp;NEWS=n&amp;CSC=Y&amp;PAGE=booktext&amp;D=books&amp;AN=01273055$&amp;XPATH=/PG(0)&amp;EPUB=Y","http://ovidsp.ovid.com/ovidweb.cgi?T=JS&amp;NEWS=n&amp;CSC=Y&amp;PAGE=booktext&amp;D=books&amp;AN=01273055$&amp;XPATH=/PG(0)&amp;EPUB=Y")</f>
        <v>http://ovidsp.ovid.com/ovidweb.cgi?T=JS&amp;NEWS=n&amp;CSC=Y&amp;PAGE=booktext&amp;D=books&amp;AN=01273055$&amp;XPATH=/PG(0)&amp;EPUB=Y</v>
      </c>
      <c r="G269" t="s">
        <v>2139</v>
      </c>
      <c r="H269" t="s">
        <v>2974</v>
      </c>
      <c r="I269">
        <v>1206726</v>
      </c>
      <c r="J269" t="s">
        <v>3263</v>
      </c>
      <c r="K269" t="s">
        <v>563</v>
      </c>
    </row>
    <row r="270" spans="1:11" x14ac:dyDescent="0.3">
      <c r="A270" t="s">
        <v>3752</v>
      </c>
      <c r="B270" t="s">
        <v>1176</v>
      </c>
      <c r="C270" t="s">
        <v>2758</v>
      </c>
      <c r="D270" t="s">
        <v>4111</v>
      </c>
      <c r="E270" t="s">
        <v>2223</v>
      </c>
      <c r="F270" s="1" t="str">
        <f>HYPERLINK("http://ovidsp.ovid.com/ovidweb.cgi?T=JS&amp;NEWS=n&amp;CSC=Y&amp;PAGE=booktext&amp;D=books&amp;AN=01337646$&amp;XPATH=/PG(0)&amp;EPUB=Y","http://ovidsp.ovid.com/ovidweb.cgi?T=JS&amp;NEWS=n&amp;CSC=Y&amp;PAGE=booktext&amp;D=books&amp;AN=01337646$&amp;XPATH=/PG(0)&amp;EPUB=Y")</f>
        <v>http://ovidsp.ovid.com/ovidweb.cgi?T=JS&amp;NEWS=n&amp;CSC=Y&amp;PAGE=booktext&amp;D=books&amp;AN=01337646$&amp;XPATH=/PG(0)&amp;EPUB=Y</v>
      </c>
      <c r="G270" t="s">
        <v>2139</v>
      </c>
      <c r="H270" t="s">
        <v>2974</v>
      </c>
      <c r="I270">
        <v>1206726</v>
      </c>
      <c r="J270" t="s">
        <v>3263</v>
      </c>
      <c r="K270" t="s">
        <v>4399</v>
      </c>
    </row>
    <row r="271" spans="1:11" x14ac:dyDescent="0.3">
      <c r="A271" t="s">
        <v>3341</v>
      </c>
      <c r="B271" t="s">
        <v>3736</v>
      </c>
      <c r="C271" t="s">
        <v>1071</v>
      </c>
      <c r="D271" t="s">
        <v>4111</v>
      </c>
      <c r="E271" t="s">
        <v>2223</v>
      </c>
      <c r="F271" s="1" t="str">
        <f>HYPERLINK("http://ovidsp.ovid.com/ovidweb.cgi?T=JS&amp;NEWS=n&amp;CSC=Y&amp;PAGE=booktext&amp;D=books&amp;AN=01337948$&amp;XPATH=/PG(0)&amp;EPUB=Y","http://ovidsp.ovid.com/ovidweb.cgi?T=JS&amp;NEWS=n&amp;CSC=Y&amp;PAGE=booktext&amp;D=books&amp;AN=01337948$&amp;XPATH=/PG(0)&amp;EPUB=Y")</f>
        <v>http://ovidsp.ovid.com/ovidweb.cgi?T=JS&amp;NEWS=n&amp;CSC=Y&amp;PAGE=booktext&amp;D=books&amp;AN=01337948$&amp;XPATH=/PG(0)&amp;EPUB=Y</v>
      </c>
      <c r="G271" t="s">
        <v>2139</v>
      </c>
      <c r="H271" t="s">
        <v>2974</v>
      </c>
      <c r="I271">
        <v>1206726</v>
      </c>
      <c r="J271" t="s">
        <v>3263</v>
      </c>
      <c r="K271" t="s">
        <v>4709</v>
      </c>
    </row>
    <row r="272" spans="1:11" x14ac:dyDescent="0.3">
      <c r="A272" t="s">
        <v>4337</v>
      </c>
      <c r="B272" t="s">
        <v>3530</v>
      </c>
      <c r="C272" t="s">
        <v>1641</v>
      </c>
      <c r="D272" t="s">
        <v>4111</v>
      </c>
      <c r="E272" t="s">
        <v>404</v>
      </c>
      <c r="F272" s="1" t="str">
        <f>HYPERLINK("http://ovidsp.ovid.com/ovidweb.cgi?T=JS&amp;NEWS=n&amp;CSC=Y&amp;PAGE=booktext&amp;D=books&amp;AN=01257002$&amp;XPATH=/PG(0)&amp;EPUB=Y","http://ovidsp.ovid.com/ovidweb.cgi?T=JS&amp;NEWS=n&amp;CSC=Y&amp;PAGE=booktext&amp;D=books&amp;AN=01257002$&amp;XPATH=/PG(0)&amp;EPUB=Y")</f>
        <v>http://ovidsp.ovid.com/ovidweb.cgi?T=JS&amp;NEWS=n&amp;CSC=Y&amp;PAGE=booktext&amp;D=books&amp;AN=01257002$&amp;XPATH=/PG(0)&amp;EPUB=Y</v>
      </c>
      <c r="G272" t="s">
        <v>2139</v>
      </c>
      <c r="H272" t="s">
        <v>2974</v>
      </c>
      <c r="I272">
        <v>1206726</v>
      </c>
      <c r="J272" t="s">
        <v>3263</v>
      </c>
      <c r="K272" t="s">
        <v>2105</v>
      </c>
    </row>
    <row r="273" spans="1:11" x14ac:dyDescent="0.3">
      <c r="A273" t="s">
        <v>1797</v>
      </c>
      <c r="B273" t="s">
        <v>1352</v>
      </c>
      <c r="C273" t="s">
        <v>4255</v>
      </c>
      <c r="D273" t="s">
        <v>4111</v>
      </c>
      <c r="E273" t="s">
        <v>2223</v>
      </c>
      <c r="F273" s="1" t="str">
        <f>HYPERLINK("http://ovidsp.ovid.com/ovidweb.cgi?T=JS&amp;NEWS=n&amp;CSC=Y&amp;PAGE=booktext&amp;D=books&amp;AN=01279736$&amp;XPATH=/PG(0)&amp;EPUB=Y","http://ovidsp.ovid.com/ovidweb.cgi?T=JS&amp;NEWS=n&amp;CSC=Y&amp;PAGE=booktext&amp;D=books&amp;AN=01279736$&amp;XPATH=/PG(0)&amp;EPUB=Y")</f>
        <v>http://ovidsp.ovid.com/ovidweb.cgi?T=JS&amp;NEWS=n&amp;CSC=Y&amp;PAGE=booktext&amp;D=books&amp;AN=01279736$&amp;XPATH=/PG(0)&amp;EPUB=Y</v>
      </c>
      <c r="G273" t="s">
        <v>2139</v>
      </c>
      <c r="H273" t="s">
        <v>2974</v>
      </c>
      <c r="I273">
        <v>1206726</v>
      </c>
      <c r="J273" t="s">
        <v>3263</v>
      </c>
      <c r="K273" t="s">
        <v>2071</v>
      </c>
    </row>
    <row r="274" spans="1:11" x14ac:dyDescent="0.3">
      <c r="A274" t="s">
        <v>3968</v>
      </c>
      <c r="B274" t="s">
        <v>502</v>
      </c>
      <c r="C274" t="s">
        <v>4720</v>
      </c>
      <c r="D274" t="s">
        <v>4111</v>
      </c>
      <c r="E274" t="s">
        <v>1104</v>
      </c>
      <c r="F274" s="1" t="str">
        <f>HYPERLINK("http://ovidsp.ovid.com/ovidweb.cgi?T=JS&amp;NEWS=n&amp;CSC=Y&amp;PAGE=booktext&amp;D=books&amp;AN=01382518$&amp;XPATH=/PG(0)&amp;EPUB=Y","http://ovidsp.ovid.com/ovidweb.cgi?T=JS&amp;NEWS=n&amp;CSC=Y&amp;PAGE=booktext&amp;D=books&amp;AN=01382518$&amp;XPATH=/PG(0)&amp;EPUB=Y")</f>
        <v>http://ovidsp.ovid.com/ovidweb.cgi?T=JS&amp;NEWS=n&amp;CSC=Y&amp;PAGE=booktext&amp;D=books&amp;AN=01382518$&amp;XPATH=/PG(0)&amp;EPUB=Y</v>
      </c>
      <c r="G274" t="s">
        <v>2139</v>
      </c>
      <c r="H274" t="s">
        <v>2974</v>
      </c>
      <c r="I274">
        <v>1206726</v>
      </c>
      <c r="J274" t="s">
        <v>3263</v>
      </c>
      <c r="K274" t="s">
        <v>1548</v>
      </c>
    </row>
    <row r="275" spans="1:11" x14ac:dyDescent="0.3">
      <c r="A275" t="s">
        <v>1768</v>
      </c>
      <c r="B275" t="s">
        <v>2241</v>
      </c>
      <c r="C275" t="s">
        <v>3626</v>
      </c>
      <c r="D275" t="s">
        <v>4111</v>
      </c>
      <c r="E275" t="s">
        <v>3051</v>
      </c>
      <c r="F275" s="1" t="str">
        <f>HYPERLINK("http://ovidsp.ovid.com/ovidweb.cgi?T=JS&amp;NEWS=n&amp;CSC=Y&amp;PAGE=booktext&amp;D=books&amp;AN=01438852$&amp;XPATH=/PG(0)&amp;EPUB=Y","http://ovidsp.ovid.com/ovidweb.cgi?T=JS&amp;NEWS=n&amp;CSC=Y&amp;PAGE=booktext&amp;D=books&amp;AN=01438852$&amp;XPATH=/PG(0)&amp;EPUB=Y")</f>
        <v>http://ovidsp.ovid.com/ovidweb.cgi?T=JS&amp;NEWS=n&amp;CSC=Y&amp;PAGE=booktext&amp;D=books&amp;AN=01438852$&amp;XPATH=/PG(0)&amp;EPUB=Y</v>
      </c>
      <c r="G275" t="s">
        <v>2139</v>
      </c>
      <c r="H275" t="s">
        <v>2974</v>
      </c>
      <c r="I275">
        <v>1206726</v>
      </c>
      <c r="J275" t="s">
        <v>3263</v>
      </c>
      <c r="K275" t="s">
        <v>2152</v>
      </c>
    </row>
    <row r="276" spans="1:11" x14ac:dyDescent="0.3">
      <c r="A276" t="s">
        <v>3539</v>
      </c>
      <c r="B276" t="s">
        <v>2393</v>
      </c>
      <c r="C276" t="s">
        <v>3367</v>
      </c>
      <c r="D276" t="s">
        <v>4111</v>
      </c>
      <c r="E276" t="s">
        <v>3387</v>
      </c>
      <c r="F276" s="1" t="str">
        <f>HYPERLINK("http://ovidsp.ovid.com/ovidweb.cgi?T=JS&amp;NEWS=n&amp;CSC=Y&amp;PAGE=booktext&amp;D=books&amp;AN=01436868$&amp;XPATH=/PG(0)&amp;EPUB=Y","http://ovidsp.ovid.com/ovidweb.cgi?T=JS&amp;NEWS=n&amp;CSC=Y&amp;PAGE=booktext&amp;D=books&amp;AN=01436868$&amp;XPATH=/PG(0)&amp;EPUB=Y")</f>
        <v>http://ovidsp.ovid.com/ovidweb.cgi?T=JS&amp;NEWS=n&amp;CSC=Y&amp;PAGE=booktext&amp;D=books&amp;AN=01436868$&amp;XPATH=/PG(0)&amp;EPUB=Y</v>
      </c>
      <c r="G276" t="s">
        <v>2139</v>
      </c>
      <c r="H276" t="s">
        <v>2974</v>
      </c>
      <c r="I276">
        <v>1206726</v>
      </c>
      <c r="J276" t="s">
        <v>3263</v>
      </c>
      <c r="K276" t="s">
        <v>757</v>
      </c>
    </row>
    <row r="277" spans="1:11" x14ac:dyDescent="0.3">
      <c r="A277" t="s">
        <v>1368</v>
      </c>
      <c r="B277" t="s">
        <v>4195</v>
      </c>
      <c r="C277" t="s">
        <v>398</v>
      </c>
      <c r="D277" t="s">
        <v>4111</v>
      </c>
      <c r="E277" t="s">
        <v>404</v>
      </c>
      <c r="F277" s="1" t="str">
        <f>HYPERLINK("http://ovidsp.ovid.com/ovidweb.cgi?T=JS&amp;NEWS=n&amp;CSC=Y&amp;PAGE=booktext&amp;D=books&amp;AN=01382519$&amp;XPATH=/PG(0)&amp;EPUB=Y","http://ovidsp.ovid.com/ovidweb.cgi?T=JS&amp;NEWS=n&amp;CSC=Y&amp;PAGE=booktext&amp;D=books&amp;AN=01382519$&amp;XPATH=/PG(0)&amp;EPUB=Y")</f>
        <v>http://ovidsp.ovid.com/ovidweb.cgi?T=JS&amp;NEWS=n&amp;CSC=Y&amp;PAGE=booktext&amp;D=books&amp;AN=01382519$&amp;XPATH=/PG(0)&amp;EPUB=Y</v>
      </c>
      <c r="G277" t="s">
        <v>2139</v>
      </c>
      <c r="H277" t="s">
        <v>2974</v>
      </c>
      <c r="I277">
        <v>1206726</v>
      </c>
      <c r="J277" t="s">
        <v>3263</v>
      </c>
      <c r="K277" t="s">
        <v>1473</v>
      </c>
    </row>
    <row r="278" spans="1:11" x14ac:dyDescent="0.3">
      <c r="A278" t="s">
        <v>1438</v>
      </c>
      <c r="B278" t="s">
        <v>3944</v>
      </c>
      <c r="C278" t="s">
        <v>2529</v>
      </c>
      <c r="D278" t="s">
        <v>4111</v>
      </c>
      <c r="E278" t="s">
        <v>3387</v>
      </c>
      <c r="F278" s="1" t="str">
        <f>HYPERLINK("http://ovidsp.ovid.com/ovidweb.cgi?T=JS&amp;NEWS=n&amp;CSC=Y&amp;PAGE=booktext&amp;D=books&amp;AN=01382478$&amp;XPATH=/PG(0)&amp;EPUB=Y","http://ovidsp.ovid.com/ovidweb.cgi?T=JS&amp;NEWS=n&amp;CSC=Y&amp;PAGE=booktext&amp;D=books&amp;AN=01382478$&amp;XPATH=/PG(0)&amp;EPUB=Y")</f>
        <v>http://ovidsp.ovid.com/ovidweb.cgi?T=JS&amp;NEWS=n&amp;CSC=Y&amp;PAGE=booktext&amp;D=books&amp;AN=01382478$&amp;XPATH=/PG(0)&amp;EPUB=Y</v>
      </c>
      <c r="G278" t="s">
        <v>2139</v>
      </c>
      <c r="H278" t="s">
        <v>2974</v>
      </c>
      <c r="I278">
        <v>1206726</v>
      </c>
      <c r="J278" t="s">
        <v>3263</v>
      </c>
      <c r="K278" t="s">
        <v>1500</v>
      </c>
    </row>
    <row r="279" spans="1:11" x14ac:dyDescent="0.3">
      <c r="A279" t="s">
        <v>2153</v>
      </c>
      <c r="B279" t="s">
        <v>3271</v>
      </c>
      <c r="C279" t="s">
        <v>941</v>
      </c>
      <c r="D279" t="s">
        <v>4111</v>
      </c>
      <c r="E279" t="s">
        <v>1595</v>
      </c>
      <c r="F279" s="1" t="str">
        <f>HYPERLINK("http://ovidsp.ovid.com/ovidweb.cgi?T=JS&amp;NEWS=n&amp;CSC=Y&amp;PAGE=booktext&amp;D=books&amp;AN=01745865$&amp;XPATH=/PG(0)&amp;EPUB=Y","http://ovidsp.ovid.com/ovidweb.cgi?T=JS&amp;NEWS=n&amp;CSC=Y&amp;PAGE=booktext&amp;D=books&amp;AN=01745865$&amp;XPATH=/PG(0)&amp;EPUB=Y")</f>
        <v>http://ovidsp.ovid.com/ovidweb.cgi?T=JS&amp;NEWS=n&amp;CSC=Y&amp;PAGE=booktext&amp;D=books&amp;AN=01745865$&amp;XPATH=/PG(0)&amp;EPUB=Y</v>
      </c>
      <c r="G279" t="s">
        <v>2139</v>
      </c>
      <c r="H279" t="s">
        <v>2974</v>
      </c>
      <c r="I279">
        <v>1206726</v>
      </c>
      <c r="J279" t="s">
        <v>3263</v>
      </c>
      <c r="K279" t="s">
        <v>31</v>
      </c>
    </row>
    <row r="280" spans="1:11" x14ac:dyDescent="0.3">
      <c r="A280" t="s">
        <v>741</v>
      </c>
      <c r="B280" t="s">
        <v>2030</v>
      </c>
      <c r="C280" t="s">
        <v>1113</v>
      </c>
      <c r="D280" t="s">
        <v>4111</v>
      </c>
      <c r="E280" t="s">
        <v>2876</v>
      </c>
      <c r="F280" s="1" t="str">
        <f>HYPERLINK("http://ovidsp.ovid.com/ovidweb.cgi?T=JS&amp;NEWS=n&amp;CSC=Y&amp;PAGE=booktext&amp;D=books&amp;AN=01437511$&amp;XPATH=/PG(0)&amp;EPUB=Y","http://ovidsp.ovid.com/ovidweb.cgi?T=JS&amp;NEWS=n&amp;CSC=Y&amp;PAGE=booktext&amp;D=books&amp;AN=01437511$&amp;XPATH=/PG(0)&amp;EPUB=Y")</f>
        <v>http://ovidsp.ovid.com/ovidweb.cgi?T=JS&amp;NEWS=n&amp;CSC=Y&amp;PAGE=booktext&amp;D=books&amp;AN=01437511$&amp;XPATH=/PG(0)&amp;EPUB=Y</v>
      </c>
      <c r="G280" t="s">
        <v>2139</v>
      </c>
      <c r="H280" t="s">
        <v>2974</v>
      </c>
      <c r="I280">
        <v>1206726</v>
      </c>
      <c r="J280" t="s">
        <v>3263</v>
      </c>
      <c r="K280" t="s">
        <v>227</v>
      </c>
    </row>
    <row r="281" spans="1:11" x14ac:dyDescent="0.3">
      <c r="A281" t="s">
        <v>2267</v>
      </c>
      <c r="B281" t="s">
        <v>2082</v>
      </c>
      <c r="C281" t="s">
        <v>3361</v>
      </c>
      <c r="D281" t="s">
        <v>4111</v>
      </c>
      <c r="E281" t="s">
        <v>1104</v>
      </c>
      <c r="F281" s="1" t="str">
        <f>HYPERLINK("http://ovidsp.ovid.com/ovidweb.cgi?T=JS&amp;NEWS=n&amp;CSC=Y&amp;PAGE=booktext&amp;D=books&amp;AN=01256963$&amp;XPATH=/PG(0)&amp;EPUB=Y","http://ovidsp.ovid.com/ovidweb.cgi?T=JS&amp;NEWS=n&amp;CSC=Y&amp;PAGE=booktext&amp;D=books&amp;AN=01256963$&amp;XPATH=/PG(0)&amp;EPUB=Y")</f>
        <v>http://ovidsp.ovid.com/ovidweb.cgi?T=JS&amp;NEWS=n&amp;CSC=Y&amp;PAGE=booktext&amp;D=books&amp;AN=01256963$&amp;XPATH=/PG(0)&amp;EPUB=Y</v>
      </c>
      <c r="G281" t="s">
        <v>2139</v>
      </c>
      <c r="H281" t="s">
        <v>2974</v>
      </c>
      <c r="I281">
        <v>1206726</v>
      </c>
      <c r="J281" t="s">
        <v>3263</v>
      </c>
      <c r="K281" t="s">
        <v>1345</v>
      </c>
    </row>
    <row r="282" spans="1:11" x14ac:dyDescent="0.3">
      <c r="A282" t="s">
        <v>3343</v>
      </c>
      <c r="B282" t="s">
        <v>1402</v>
      </c>
      <c r="C282" t="s">
        <v>1946</v>
      </c>
      <c r="D282" t="s">
        <v>4111</v>
      </c>
      <c r="E282" t="s">
        <v>404</v>
      </c>
      <c r="F282" s="1" t="str">
        <f>HYPERLINK("http://ovidsp.ovid.com/ovidweb.cgi?T=JS&amp;NEWS=n&amp;CSC=Y&amp;PAGE=booktext&amp;D=books&amp;AN=01382444$&amp;XPATH=/PG(0)&amp;EPUB=Y","http://ovidsp.ovid.com/ovidweb.cgi?T=JS&amp;NEWS=n&amp;CSC=Y&amp;PAGE=booktext&amp;D=books&amp;AN=01382444$&amp;XPATH=/PG(0)&amp;EPUB=Y")</f>
        <v>http://ovidsp.ovid.com/ovidweb.cgi?T=JS&amp;NEWS=n&amp;CSC=Y&amp;PAGE=booktext&amp;D=books&amp;AN=01382444$&amp;XPATH=/PG(0)&amp;EPUB=Y</v>
      </c>
      <c r="G282" t="s">
        <v>2139</v>
      </c>
      <c r="H282" t="s">
        <v>2974</v>
      </c>
      <c r="I282">
        <v>1206726</v>
      </c>
      <c r="J282" t="s">
        <v>3263</v>
      </c>
      <c r="K282" t="s">
        <v>606</v>
      </c>
    </row>
    <row r="283" spans="1:11" x14ac:dyDescent="0.3">
      <c r="A283" t="s">
        <v>1202</v>
      </c>
      <c r="B283" t="s">
        <v>4338</v>
      </c>
      <c r="C283" t="s">
        <v>2574</v>
      </c>
      <c r="D283" t="s">
        <v>4111</v>
      </c>
      <c r="E283" t="s">
        <v>404</v>
      </c>
      <c r="F283" s="1" t="str">
        <f>HYPERLINK("http://ovidsp.ovid.com/ovidweb.cgi?T=JS&amp;NEWS=n&amp;CSC=Y&amp;PAGE=booktext&amp;D=books&amp;AN=01412545$&amp;XPATH=/PG(0)&amp;EPUB=Y","http://ovidsp.ovid.com/ovidweb.cgi?T=JS&amp;NEWS=n&amp;CSC=Y&amp;PAGE=booktext&amp;D=books&amp;AN=01412545$&amp;XPATH=/PG(0)&amp;EPUB=Y")</f>
        <v>http://ovidsp.ovid.com/ovidweb.cgi?T=JS&amp;NEWS=n&amp;CSC=Y&amp;PAGE=booktext&amp;D=books&amp;AN=01412545$&amp;XPATH=/PG(0)&amp;EPUB=Y</v>
      </c>
      <c r="G283" t="s">
        <v>2139</v>
      </c>
      <c r="H283" t="s">
        <v>2974</v>
      </c>
      <c r="I283">
        <v>1206726</v>
      </c>
      <c r="J283" t="s">
        <v>3263</v>
      </c>
      <c r="K283" t="s">
        <v>4698</v>
      </c>
    </row>
    <row r="284" spans="1:11" x14ac:dyDescent="0.3">
      <c r="A284" t="s">
        <v>2380</v>
      </c>
      <c r="B284" t="s">
        <v>600</v>
      </c>
      <c r="C284" t="s">
        <v>3372</v>
      </c>
      <c r="D284" t="s">
        <v>4111</v>
      </c>
      <c r="E284" t="s">
        <v>4250</v>
      </c>
      <c r="F284" s="1" t="str">
        <f>HYPERLINK("http://ovidsp.ovid.com/ovidweb.cgi?T=JS&amp;NEWS=n&amp;CSC=Y&amp;PAGE=booktext&amp;D=books&amp;AN=01451469$&amp;XPATH=/PG(0)&amp;EPUB=Y","http://ovidsp.ovid.com/ovidweb.cgi?T=JS&amp;NEWS=n&amp;CSC=Y&amp;PAGE=booktext&amp;D=books&amp;AN=01451469$&amp;XPATH=/PG(0)&amp;EPUB=Y")</f>
        <v>http://ovidsp.ovid.com/ovidweb.cgi?T=JS&amp;NEWS=n&amp;CSC=Y&amp;PAGE=booktext&amp;D=books&amp;AN=01451469$&amp;XPATH=/PG(0)&amp;EPUB=Y</v>
      </c>
      <c r="G284" t="s">
        <v>2139</v>
      </c>
      <c r="H284" t="s">
        <v>2974</v>
      </c>
      <c r="I284">
        <v>1206726</v>
      </c>
      <c r="J284" t="s">
        <v>3263</v>
      </c>
      <c r="K284" t="s">
        <v>1565</v>
      </c>
    </row>
    <row r="285" spans="1:11" x14ac:dyDescent="0.3">
      <c r="A285" t="s">
        <v>2380</v>
      </c>
      <c r="B285" t="s">
        <v>3120</v>
      </c>
      <c r="C285" t="s">
        <v>771</v>
      </c>
      <c r="D285" t="s">
        <v>4111</v>
      </c>
      <c r="E285" t="s">
        <v>2565</v>
      </c>
      <c r="F285" s="1" t="str">
        <f>HYPERLINK("http://ovidsp.ovid.com/ovidweb.cgi?T=JS&amp;NEWS=n&amp;CSC=Y&amp;PAGE=booktext&amp;D=books&amp;AN=01833060$&amp;XPATH=/PG(0)&amp;EPUB=Y","http://ovidsp.ovid.com/ovidweb.cgi?T=JS&amp;NEWS=n&amp;CSC=Y&amp;PAGE=booktext&amp;D=books&amp;AN=01833060$&amp;XPATH=/PG(0)&amp;EPUB=Y")</f>
        <v>http://ovidsp.ovid.com/ovidweb.cgi?T=JS&amp;NEWS=n&amp;CSC=Y&amp;PAGE=booktext&amp;D=books&amp;AN=01833060$&amp;XPATH=/PG(0)&amp;EPUB=Y</v>
      </c>
      <c r="G285" t="s">
        <v>2139</v>
      </c>
      <c r="H285" t="s">
        <v>2974</v>
      </c>
      <c r="I285">
        <v>1206726</v>
      </c>
      <c r="J285" t="s">
        <v>3263</v>
      </c>
      <c r="K285" t="s">
        <v>4580</v>
      </c>
    </row>
    <row r="286" spans="1:11" x14ac:dyDescent="0.3">
      <c r="A286" t="s">
        <v>2309</v>
      </c>
      <c r="B286" t="s">
        <v>4147</v>
      </c>
      <c r="C286" t="s">
        <v>2123</v>
      </c>
      <c r="D286" t="s">
        <v>4111</v>
      </c>
      <c r="E286" t="s">
        <v>1104</v>
      </c>
      <c r="F286" s="1" t="str">
        <f>HYPERLINK("http://ovidsp.ovid.com/ovidweb.cgi?T=JS&amp;NEWS=n&amp;CSC=Y&amp;PAGE=booktext&amp;D=books&amp;AN=01634988$&amp;XPATH=/PG(0)&amp;EPUB=Y","http://ovidsp.ovid.com/ovidweb.cgi?T=JS&amp;NEWS=n&amp;CSC=Y&amp;PAGE=booktext&amp;D=books&amp;AN=01634988$&amp;XPATH=/PG(0)&amp;EPUB=Y")</f>
        <v>http://ovidsp.ovid.com/ovidweb.cgi?T=JS&amp;NEWS=n&amp;CSC=Y&amp;PAGE=booktext&amp;D=books&amp;AN=01634988$&amp;XPATH=/PG(0)&amp;EPUB=Y</v>
      </c>
      <c r="G286" t="s">
        <v>2139</v>
      </c>
      <c r="H286" t="s">
        <v>2974</v>
      </c>
      <c r="I286">
        <v>1206726</v>
      </c>
      <c r="J286" t="s">
        <v>3263</v>
      </c>
      <c r="K286" t="s">
        <v>3910</v>
      </c>
    </row>
    <row r="287" spans="1:11" x14ac:dyDescent="0.3">
      <c r="A287" t="s">
        <v>4483</v>
      </c>
      <c r="B287" t="s">
        <v>965</v>
      </c>
      <c r="C287" t="s">
        <v>4015</v>
      </c>
      <c r="D287" t="s">
        <v>4111</v>
      </c>
      <c r="E287" t="s">
        <v>2223</v>
      </c>
      <c r="F287" s="1" t="str">
        <f>HYPERLINK("http://ovidsp.ovid.com/ovidweb.cgi?T=JS&amp;NEWS=n&amp;CSC=Y&amp;PAGE=booktext&amp;D=books&amp;AN=01337528$&amp;XPATH=/PG(0)&amp;EPUB=Y","http://ovidsp.ovid.com/ovidweb.cgi?T=JS&amp;NEWS=n&amp;CSC=Y&amp;PAGE=booktext&amp;D=books&amp;AN=01337528$&amp;XPATH=/PG(0)&amp;EPUB=Y")</f>
        <v>http://ovidsp.ovid.com/ovidweb.cgi?T=JS&amp;NEWS=n&amp;CSC=Y&amp;PAGE=booktext&amp;D=books&amp;AN=01337528$&amp;XPATH=/PG(0)&amp;EPUB=Y</v>
      </c>
      <c r="G287" t="s">
        <v>2139</v>
      </c>
      <c r="H287" t="s">
        <v>2974</v>
      </c>
      <c r="I287">
        <v>1206726</v>
      </c>
      <c r="J287" t="s">
        <v>3263</v>
      </c>
      <c r="K287" t="s">
        <v>2992</v>
      </c>
    </row>
    <row r="288" spans="1:11" x14ac:dyDescent="0.3">
      <c r="A288" t="s">
        <v>4123</v>
      </c>
      <c r="B288" t="s">
        <v>1008</v>
      </c>
      <c r="C288" t="s">
        <v>842</v>
      </c>
      <c r="D288" t="s">
        <v>4111</v>
      </c>
      <c r="E288" t="s">
        <v>2223</v>
      </c>
      <c r="F288" s="1" t="str">
        <f>HYPERLINK("http://ovidsp.ovid.com/ovidweb.cgi?T=JS&amp;NEWS=n&amp;CSC=Y&amp;PAGE=booktext&amp;D=books&amp;AN=01257004$&amp;XPATH=/PG(0)&amp;EPUB=Y","http://ovidsp.ovid.com/ovidweb.cgi?T=JS&amp;NEWS=n&amp;CSC=Y&amp;PAGE=booktext&amp;D=books&amp;AN=01257004$&amp;XPATH=/PG(0)&amp;EPUB=Y")</f>
        <v>http://ovidsp.ovid.com/ovidweb.cgi?T=JS&amp;NEWS=n&amp;CSC=Y&amp;PAGE=booktext&amp;D=books&amp;AN=01257004$&amp;XPATH=/PG(0)&amp;EPUB=Y</v>
      </c>
      <c r="G288" t="s">
        <v>2139</v>
      </c>
      <c r="H288" t="s">
        <v>2974</v>
      </c>
      <c r="I288">
        <v>1206726</v>
      </c>
      <c r="J288" t="s">
        <v>3263</v>
      </c>
      <c r="K288" t="s">
        <v>3728</v>
      </c>
    </row>
    <row r="289" spans="1:11" x14ac:dyDescent="0.3">
      <c r="A289" t="s">
        <v>4007</v>
      </c>
      <c r="B289" t="s">
        <v>4031</v>
      </c>
      <c r="C289" t="s">
        <v>177</v>
      </c>
      <c r="D289" t="s">
        <v>4111</v>
      </c>
      <c r="E289" t="s">
        <v>1104</v>
      </c>
      <c r="F289" s="1" t="str">
        <f>HYPERLINK("http://ovidsp.ovid.com/ovidweb.cgi?T=JS&amp;NEWS=n&amp;CSC=Y&amp;PAGE=booktext&amp;D=books&amp;AN=01382522$&amp;XPATH=/PG(0)&amp;EPUB=Y","http://ovidsp.ovid.com/ovidweb.cgi?T=JS&amp;NEWS=n&amp;CSC=Y&amp;PAGE=booktext&amp;D=books&amp;AN=01382522$&amp;XPATH=/PG(0)&amp;EPUB=Y")</f>
        <v>http://ovidsp.ovid.com/ovidweb.cgi?T=JS&amp;NEWS=n&amp;CSC=Y&amp;PAGE=booktext&amp;D=books&amp;AN=01382522$&amp;XPATH=/PG(0)&amp;EPUB=Y</v>
      </c>
      <c r="G289" t="s">
        <v>2139</v>
      </c>
      <c r="H289" t="s">
        <v>2974</v>
      </c>
      <c r="I289">
        <v>1206726</v>
      </c>
      <c r="J289" t="s">
        <v>3263</v>
      </c>
      <c r="K289" t="s">
        <v>1046</v>
      </c>
    </row>
    <row r="290" spans="1:11" x14ac:dyDescent="0.3">
      <c r="A290" t="s">
        <v>1883</v>
      </c>
      <c r="B290" t="s">
        <v>3549</v>
      </c>
      <c r="C290" t="s">
        <v>1022</v>
      </c>
      <c r="D290" t="s">
        <v>4111</v>
      </c>
      <c r="E290" t="s">
        <v>1104</v>
      </c>
      <c r="F290" s="1" t="str">
        <f>HYPERLINK("http://ovidsp.ovid.com/ovidweb.cgi?T=JS&amp;NEWS=n&amp;CSC=Y&amp;PAGE=booktext&amp;D=books&amp;AN=01265116$&amp;XPATH=/PG(0)&amp;EPUB=Y","http://ovidsp.ovid.com/ovidweb.cgi?T=JS&amp;NEWS=n&amp;CSC=Y&amp;PAGE=booktext&amp;D=books&amp;AN=01265116$&amp;XPATH=/PG(0)&amp;EPUB=Y")</f>
        <v>http://ovidsp.ovid.com/ovidweb.cgi?T=JS&amp;NEWS=n&amp;CSC=Y&amp;PAGE=booktext&amp;D=books&amp;AN=01265116$&amp;XPATH=/PG(0)&amp;EPUB=Y</v>
      </c>
      <c r="G290" t="s">
        <v>2139</v>
      </c>
      <c r="H290" t="s">
        <v>2974</v>
      </c>
      <c r="I290">
        <v>1206726</v>
      </c>
      <c r="J290" t="s">
        <v>3263</v>
      </c>
      <c r="K290" t="s">
        <v>2555</v>
      </c>
    </row>
    <row r="291" spans="1:11" x14ac:dyDescent="0.3">
      <c r="A291" t="s">
        <v>2575</v>
      </c>
      <c r="B291" t="s">
        <v>4134</v>
      </c>
      <c r="C291" t="s">
        <v>1079</v>
      </c>
      <c r="D291" t="s">
        <v>4111</v>
      </c>
      <c r="E291" t="s">
        <v>2223</v>
      </c>
      <c r="F291" s="1" t="str">
        <f>HYPERLINK("http://ovidsp.ovid.com/ovidweb.cgi?T=JS&amp;NEWS=n&amp;CSC=Y&amp;PAGE=booktext&amp;D=books&amp;AN=01382796$&amp;XPATH=/PG(0)&amp;EPUB=Y","http://ovidsp.ovid.com/ovidweb.cgi?T=JS&amp;NEWS=n&amp;CSC=Y&amp;PAGE=booktext&amp;D=books&amp;AN=01382796$&amp;XPATH=/PG(0)&amp;EPUB=Y")</f>
        <v>http://ovidsp.ovid.com/ovidweb.cgi?T=JS&amp;NEWS=n&amp;CSC=Y&amp;PAGE=booktext&amp;D=books&amp;AN=01382796$&amp;XPATH=/PG(0)&amp;EPUB=Y</v>
      </c>
      <c r="G291" t="s">
        <v>2139</v>
      </c>
      <c r="H291" t="s">
        <v>2974</v>
      </c>
      <c r="I291">
        <v>1206726</v>
      </c>
      <c r="J291" t="s">
        <v>3263</v>
      </c>
      <c r="K291" t="s">
        <v>451</v>
      </c>
    </row>
    <row r="292" spans="1:11" x14ac:dyDescent="0.3">
      <c r="A292" t="s">
        <v>579</v>
      </c>
      <c r="B292" t="s">
        <v>1862</v>
      </c>
      <c r="C292" t="s">
        <v>3274</v>
      </c>
      <c r="D292" t="s">
        <v>4111</v>
      </c>
      <c r="E292" t="s">
        <v>2223</v>
      </c>
      <c r="F292" s="1" t="str">
        <f>HYPERLINK("http://ovidsp.ovid.com/ovidweb.cgi?T=JS&amp;NEWS=n&amp;CSC=Y&amp;PAGE=booktext&amp;D=books&amp;AN=01382523$&amp;XPATH=/PG(0)&amp;EPUB=Y","http://ovidsp.ovid.com/ovidweb.cgi?T=JS&amp;NEWS=n&amp;CSC=Y&amp;PAGE=booktext&amp;D=books&amp;AN=01382523$&amp;XPATH=/PG(0)&amp;EPUB=Y")</f>
        <v>http://ovidsp.ovid.com/ovidweb.cgi?T=JS&amp;NEWS=n&amp;CSC=Y&amp;PAGE=booktext&amp;D=books&amp;AN=01382523$&amp;XPATH=/PG(0)&amp;EPUB=Y</v>
      </c>
      <c r="G292" t="s">
        <v>2139</v>
      </c>
      <c r="H292" t="s">
        <v>2974</v>
      </c>
      <c r="I292">
        <v>1206726</v>
      </c>
      <c r="J292" t="s">
        <v>3263</v>
      </c>
      <c r="K292" t="s">
        <v>4685</v>
      </c>
    </row>
    <row r="293" spans="1:11" x14ac:dyDescent="0.3">
      <c r="A293" t="s">
        <v>3222</v>
      </c>
      <c r="B293" t="s">
        <v>4604</v>
      </c>
      <c r="C293" t="s">
        <v>895</v>
      </c>
      <c r="D293" t="s">
        <v>4111</v>
      </c>
      <c r="E293" t="s">
        <v>2223</v>
      </c>
      <c r="F293" s="1" t="str">
        <f>HYPERLINK("http://ovidsp.ovid.com/ovidweb.cgi?T=JS&amp;NEWS=n&amp;CSC=Y&amp;PAGE=booktext&amp;D=books&amp;AN=01436869$&amp;XPATH=/PG(0)&amp;EPUB=Y","http://ovidsp.ovid.com/ovidweb.cgi?T=JS&amp;NEWS=n&amp;CSC=Y&amp;PAGE=booktext&amp;D=books&amp;AN=01436869$&amp;XPATH=/PG(0)&amp;EPUB=Y")</f>
        <v>http://ovidsp.ovid.com/ovidweb.cgi?T=JS&amp;NEWS=n&amp;CSC=Y&amp;PAGE=booktext&amp;D=books&amp;AN=01436869$&amp;XPATH=/PG(0)&amp;EPUB=Y</v>
      </c>
      <c r="G293" t="s">
        <v>2139</v>
      </c>
      <c r="H293" t="s">
        <v>2974</v>
      </c>
      <c r="I293">
        <v>1206726</v>
      </c>
      <c r="J293" t="s">
        <v>3263</v>
      </c>
      <c r="K293" t="s">
        <v>4322</v>
      </c>
    </row>
    <row r="294" spans="1:11" x14ac:dyDescent="0.3">
      <c r="A294" t="s">
        <v>4209</v>
      </c>
      <c r="B294" t="s">
        <v>4012</v>
      </c>
      <c r="C294" t="s">
        <v>4535</v>
      </c>
      <c r="D294" t="s">
        <v>4111</v>
      </c>
      <c r="E294" t="s">
        <v>2223</v>
      </c>
      <c r="F294" s="1" t="str">
        <f>HYPERLINK("http://ovidsp.ovid.com/ovidweb.cgi?T=JS&amp;NEWS=n&amp;CSC=Y&amp;PAGE=booktext&amp;D=books&amp;AN=01337301$&amp;XPATH=/PG(0)&amp;EPUB=Y","http://ovidsp.ovid.com/ovidweb.cgi?T=JS&amp;NEWS=n&amp;CSC=Y&amp;PAGE=booktext&amp;D=books&amp;AN=01337301$&amp;XPATH=/PG(0)&amp;EPUB=Y")</f>
        <v>http://ovidsp.ovid.com/ovidweb.cgi?T=JS&amp;NEWS=n&amp;CSC=Y&amp;PAGE=booktext&amp;D=books&amp;AN=01337301$&amp;XPATH=/PG(0)&amp;EPUB=Y</v>
      </c>
      <c r="G294" t="s">
        <v>2139</v>
      </c>
      <c r="H294" t="s">
        <v>2974</v>
      </c>
      <c r="I294">
        <v>1206726</v>
      </c>
      <c r="J294" t="s">
        <v>3263</v>
      </c>
      <c r="K294" t="s">
        <v>1598</v>
      </c>
    </row>
    <row r="295" spans="1:11" x14ac:dyDescent="0.3">
      <c r="A295" t="s">
        <v>334</v>
      </c>
      <c r="B295" t="s">
        <v>1397</v>
      </c>
      <c r="C295" t="s">
        <v>1800</v>
      </c>
      <c r="D295" t="s">
        <v>4111</v>
      </c>
      <c r="E295" t="s">
        <v>2223</v>
      </c>
      <c r="F295" s="1" t="str">
        <f>HYPERLINK("http://ovidsp.ovid.com/ovidweb.cgi?T=JS&amp;NEWS=n&amp;CSC=Y&amp;PAGE=booktext&amp;D=books&amp;AN=01279737$&amp;XPATH=/PG(0)&amp;EPUB=Y","http://ovidsp.ovid.com/ovidweb.cgi?T=JS&amp;NEWS=n&amp;CSC=Y&amp;PAGE=booktext&amp;D=books&amp;AN=01279737$&amp;XPATH=/PG(0)&amp;EPUB=Y")</f>
        <v>http://ovidsp.ovid.com/ovidweb.cgi?T=JS&amp;NEWS=n&amp;CSC=Y&amp;PAGE=booktext&amp;D=books&amp;AN=01279737$&amp;XPATH=/PG(0)&amp;EPUB=Y</v>
      </c>
      <c r="G295" t="s">
        <v>2139</v>
      </c>
      <c r="H295" t="s">
        <v>2974</v>
      </c>
      <c r="I295">
        <v>1206726</v>
      </c>
      <c r="J295" t="s">
        <v>3263</v>
      </c>
      <c r="K295" t="s">
        <v>32</v>
      </c>
    </row>
    <row r="296" spans="1:11" x14ac:dyDescent="0.3">
      <c r="A296" t="s">
        <v>2997</v>
      </c>
      <c r="B296" t="s">
        <v>95</v>
      </c>
      <c r="C296" t="s">
        <v>3791</v>
      </c>
      <c r="D296" t="s">
        <v>4111</v>
      </c>
      <c r="E296" t="s">
        <v>404</v>
      </c>
      <c r="F296" s="1" t="str">
        <f>HYPERLINK("http://ovidsp.ovid.com/ovidweb.cgi?T=JS&amp;NEWS=n&amp;CSC=Y&amp;PAGE=booktext&amp;D=books&amp;AN=01626597$&amp;XPATH=/PG(0)&amp;EPUB=Y","http://ovidsp.ovid.com/ovidweb.cgi?T=JS&amp;NEWS=n&amp;CSC=Y&amp;PAGE=booktext&amp;D=books&amp;AN=01626597$&amp;XPATH=/PG(0)&amp;EPUB=Y")</f>
        <v>http://ovidsp.ovid.com/ovidweb.cgi?T=JS&amp;NEWS=n&amp;CSC=Y&amp;PAGE=booktext&amp;D=books&amp;AN=01626597$&amp;XPATH=/PG(0)&amp;EPUB=Y</v>
      </c>
      <c r="G296" t="s">
        <v>2139</v>
      </c>
      <c r="H296" t="s">
        <v>2974</v>
      </c>
      <c r="I296">
        <v>1206726</v>
      </c>
      <c r="J296" t="s">
        <v>3263</v>
      </c>
      <c r="K296" t="s">
        <v>1550</v>
      </c>
    </row>
    <row r="297" spans="1:11" x14ac:dyDescent="0.3">
      <c r="A297" t="s">
        <v>2997</v>
      </c>
      <c r="B297" t="s">
        <v>2800</v>
      </c>
      <c r="C297" t="s">
        <v>2055</v>
      </c>
      <c r="D297" t="s">
        <v>4111</v>
      </c>
      <c r="E297" t="s">
        <v>2223</v>
      </c>
      <c r="F297" s="1" t="str">
        <f>HYPERLINK("http://ovidsp.ovid.com/ovidweb.cgi?T=JS&amp;NEWS=n&amp;CSC=Y&amp;PAGE=booktext&amp;D=books&amp;AN=01412557$&amp;XPATH=/PG(0)&amp;EPUB=Y","http://ovidsp.ovid.com/ovidweb.cgi?T=JS&amp;NEWS=n&amp;CSC=Y&amp;PAGE=booktext&amp;D=books&amp;AN=01412557$&amp;XPATH=/PG(0)&amp;EPUB=Y")</f>
        <v>http://ovidsp.ovid.com/ovidweb.cgi?T=JS&amp;NEWS=n&amp;CSC=Y&amp;PAGE=booktext&amp;D=books&amp;AN=01412557$&amp;XPATH=/PG(0)&amp;EPUB=Y</v>
      </c>
      <c r="G297" t="s">
        <v>2139</v>
      </c>
      <c r="H297" t="s">
        <v>2974</v>
      </c>
      <c r="I297">
        <v>1206726</v>
      </c>
      <c r="J297" t="s">
        <v>3263</v>
      </c>
      <c r="K297" t="s">
        <v>851</v>
      </c>
    </row>
    <row r="298" spans="1:11" x14ac:dyDescent="0.3">
      <c r="A298" t="s">
        <v>4311</v>
      </c>
      <c r="B298" t="s">
        <v>4323</v>
      </c>
      <c r="C298" t="s">
        <v>1013</v>
      </c>
      <c r="D298" t="s">
        <v>4111</v>
      </c>
      <c r="E298" t="s">
        <v>2223</v>
      </c>
      <c r="F298" s="1" t="str">
        <f>HYPERLINK("http://ovidsp.ovid.com/ovidweb.cgi?T=JS&amp;NEWS=n&amp;CSC=Y&amp;PAGE=booktext&amp;D=books&amp;AN=01382769$&amp;XPATH=/PG(0)&amp;EPUB=Y","http://ovidsp.ovid.com/ovidweb.cgi?T=JS&amp;NEWS=n&amp;CSC=Y&amp;PAGE=booktext&amp;D=books&amp;AN=01382769$&amp;XPATH=/PG(0)&amp;EPUB=Y")</f>
        <v>http://ovidsp.ovid.com/ovidweb.cgi?T=JS&amp;NEWS=n&amp;CSC=Y&amp;PAGE=booktext&amp;D=books&amp;AN=01382769$&amp;XPATH=/PG(0)&amp;EPUB=Y</v>
      </c>
      <c r="G298" t="s">
        <v>2139</v>
      </c>
      <c r="H298" t="s">
        <v>2974</v>
      </c>
      <c r="I298">
        <v>1206726</v>
      </c>
      <c r="J298" t="s">
        <v>3263</v>
      </c>
      <c r="K298" t="s">
        <v>1606</v>
      </c>
    </row>
    <row r="299" spans="1:11" x14ac:dyDescent="0.3">
      <c r="A299" t="s">
        <v>2818</v>
      </c>
      <c r="B299" t="s">
        <v>4217</v>
      </c>
      <c r="C299" t="s">
        <v>2012</v>
      </c>
      <c r="D299" t="s">
        <v>4111</v>
      </c>
      <c r="E299" t="s">
        <v>404</v>
      </c>
      <c r="F299" s="1" t="str">
        <f>HYPERLINK("http://ovidsp.ovid.com/ovidweb.cgi?T=JS&amp;NEWS=n&amp;CSC=Y&amp;PAGE=booktext&amp;D=books&amp;AN=01382728$&amp;XPATH=/PG(0)&amp;EPUB=Y","http://ovidsp.ovid.com/ovidweb.cgi?T=JS&amp;NEWS=n&amp;CSC=Y&amp;PAGE=booktext&amp;D=books&amp;AN=01382728$&amp;XPATH=/PG(0)&amp;EPUB=Y")</f>
        <v>http://ovidsp.ovid.com/ovidweb.cgi?T=JS&amp;NEWS=n&amp;CSC=Y&amp;PAGE=booktext&amp;D=books&amp;AN=01382728$&amp;XPATH=/PG(0)&amp;EPUB=Y</v>
      </c>
      <c r="G299" t="s">
        <v>2139</v>
      </c>
      <c r="H299" t="s">
        <v>2974</v>
      </c>
      <c r="I299">
        <v>1206726</v>
      </c>
      <c r="J299" t="s">
        <v>3263</v>
      </c>
      <c r="K299" t="s">
        <v>4509</v>
      </c>
    </row>
    <row r="300" spans="1:11" x14ac:dyDescent="0.3">
      <c r="A300" t="s">
        <v>2466</v>
      </c>
      <c r="B300" t="s">
        <v>1094</v>
      </c>
      <c r="C300" t="s">
        <v>3723</v>
      </c>
      <c r="D300" t="s">
        <v>4111</v>
      </c>
      <c r="E300" t="s">
        <v>404</v>
      </c>
      <c r="F300" s="1" t="str">
        <f>HYPERLINK("http://ovidsp.ovid.com/ovidweb.cgi?T=JS&amp;NEWS=n&amp;CSC=Y&amp;PAGE=booktext&amp;D=books&amp;AN=01279738$&amp;XPATH=/PG(0)&amp;EPUB=Y","http://ovidsp.ovid.com/ovidweb.cgi?T=JS&amp;NEWS=n&amp;CSC=Y&amp;PAGE=booktext&amp;D=books&amp;AN=01279738$&amp;XPATH=/PG(0)&amp;EPUB=Y")</f>
        <v>http://ovidsp.ovid.com/ovidweb.cgi?T=JS&amp;NEWS=n&amp;CSC=Y&amp;PAGE=booktext&amp;D=books&amp;AN=01279738$&amp;XPATH=/PG(0)&amp;EPUB=Y</v>
      </c>
      <c r="G300" t="s">
        <v>2139</v>
      </c>
      <c r="H300" t="s">
        <v>2974</v>
      </c>
      <c r="I300">
        <v>1206726</v>
      </c>
      <c r="J300" t="s">
        <v>3263</v>
      </c>
      <c r="K300" t="s">
        <v>74</v>
      </c>
    </row>
    <row r="301" spans="1:11" x14ac:dyDescent="0.3">
      <c r="A301" t="s">
        <v>4581</v>
      </c>
      <c r="B301" t="s">
        <v>4588</v>
      </c>
      <c r="C301" t="s">
        <v>3021</v>
      </c>
      <c r="D301" t="s">
        <v>4111</v>
      </c>
      <c r="E301" t="s">
        <v>3051</v>
      </c>
      <c r="F301" s="1" t="str">
        <f>HYPERLINK("http://ovidsp.ovid.com/ovidweb.cgi?T=JS&amp;NEWS=n&amp;CSC=Y&amp;PAGE=booktext&amp;D=books&amp;AN=01279700$&amp;XPATH=/PG(0)&amp;EPUB=Y","http://ovidsp.ovid.com/ovidweb.cgi?T=JS&amp;NEWS=n&amp;CSC=Y&amp;PAGE=booktext&amp;D=books&amp;AN=01279700$&amp;XPATH=/PG(0)&amp;EPUB=Y")</f>
        <v>http://ovidsp.ovid.com/ovidweb.cgi?T=JS&amp;NEWS=n&amp;CSC=Y&amp;PAGE=booktext&amp;D=books&amp;AN=01279700$&amp;XPATH=/PG(0)&amp;EPUB=Y</v>
      </c>
      <c r="G301" t="s">
        <v>2139</v>
      </c>
      <c r="H301" t="s">
        <v>2974</v>
      </c>
      <c r="I301">
        <v>1206726</v>
      </c>
      <c r="J301" t="s">
        <v>3263</v>
      </c>
      <c r="K301" t="s">
        <v>20</v>
      </c>
    </row>
    <row r="302" spans="1:11" x14ac:dyDescent="0.3">
      <c r="A302" t="s">
        <v>4581</v>
      </c>
      <c r="B302" t="s">
        <v>1880</v>
      </c>
      <c r="C302" t="s">
        <v>871</v>
      </c>
      <c r="D302" t="s">
        <v>4111</v>
      </c>
      <c r="E302" t="s">
        <v>2876</v>
      </c>
      <c r="F302" s="1" t="str">
        <f>HYPERLINK("http://ovidsp.ovid.com/ovidweb.cgi?T=JS&amp;NEWS=n&amp;CSC=Y&amp;PAGE=booktext&amp;D=books&amp;AN=01626530$&amp;XPATH=/PG(0)&amp;EPUB=Y","http://ovidsp.ovid.com/ovidweb.cgi?T=JS&amp;NEWS=n&amp;CSC=Y&amp;PAGE=booktext&amp;D=books&amp;AN=01626530$&amp;XPATH=/PG(0)&amp;EPUB=Y")</f>
        <v>http://ovidsp.ovid.com/ovidweb.cgi?T=JS&amp;NEWS=n&amp;CSC=Y&amp;PAGE=booktext&amp;D=books&amp;AN=01626530$&amp;XPATH=/PG(0)&amp;EPUB=Y</v>
      </c>
      <c r="G302" t="s">
        <v>2139</v>
      </c>
      <c r="H302" t="s">
        <v>2974</v>
      </c>
      <c r="I302">
        <v>1206726</v>
      </c>
      <c r="J302" t="s">
        <v>3263</v>
      </c>
      <c r="K302" t="s">
        <v>804</v>
      </c>
    </row>
    <row r="303" spans="1:11" x14ac:dyDescent="0.3">
      <c r="A303" t="s">
        <v>1958</v>
      </c>
      <c r="B303" t="s">
        <v>3856</v>
      </c>
      <c r="C303" t="s">
        <v>2708</v>
      </c>
      <c r="D303" t="s">
        <v>4111</v>
      </c>
      <c r="E303" t="s">
        <v>2223</v>
      </c>
      <c r="F303" s="1" t="str">
        <f>HYPERLINK("http://ovidsp.ovid.com/ovidweb.cgi?T=JS&amp;NEWS=n&amp;CSC=Y&amp;PAGE=booktext&amp;D=books&amp;AN=01382526$&amp;XPATH=/PG(0)&amp;EPUB=Y","http://ovidsp.ovid.com/ovidweb.cgi?T=JS&amp;NEWS=n&amp;CSC=Y&amp;PAGE=booktext&amp;D=books&amp;AN=01382526$&amp;XPATH=/PG(0)&amp;EPUB=Y")</f>
        <v>http://ovidsp.ovid.com/ovidweb.cgi?T=JS&amp;NEWS=n&amp;CSC=Y&amp;PAGE=booktext&amp;D=books&amp;AN=01382526$&amp;XPATH=/PG(0)&amp;EPUB=Y</v>
      </c>
      <c r="G303" t="s">
        <v>2139</v>
      </c>
      <c r="H303" t="s">
        <v>2974</v>
      </c>
      <c r="I303">
        <v>1206726</v>
      </c>
      <c r="J303" t="s">
        <v>3263</v>
      </c>
      <c r="K303" t="s">
        <v>2635</v>
      </c>
    </row>
    <row r="304" spans="1:11" x14ac:dyDescent="0.3">
      <c r="A304" t="s">
        <v>3842</v>
      </c>
      <c r="B304" t="s">
        <v>2643</v>
      </c>
      <c r="C304" t="s">
        <v>4334</v>
      </c>
      <c r="D304" t="s">
        <v>4111</v>
      </c>
      <c r="E304" t="s">
        <v>404</v>
      </c>
      <c r="F304" s="1" t="str">
        <f>HYPERLINK("http://ovidsp.ovid.com/ovidweb.cgi?T=JS&amp;NEWS=n&amp;CSC=Y&amp;PAGE=booktext&amp;D=books&amp;AN=01279701$&amp;XPATH=/PG(0)&amp;EPUB=Y","http://ovidsp.ovid.com/ovidweb.cgi?T=JS&amp;NEWS=n&amp;CSC=Y&amp;PAGE=booktext&amp;D=books&amp;AN=01279701$&amp;XPATH=/PG(0)&amp;EPUB=Y")</f>
        <v>http://ovidsp.ovid.com/ovidweb.cgi?T=JS&amp;NEWS=n&amp;CSC=Y&amp;PAGE=booktext&amp;D=books&amp;AN=01279701$&amp;XPATH=/PG(0)&amp;EPUB=Y</v>
      </c>
      <c r="G304" t="s">
        <v>2139</v>
      </c>
      <c r="H304" t="s">
        <v>2974</v>
      </c>
      <c r="I304">
        <v>1206726</v>
      </c>
      <c r="J304" t="s">
        <v>3263</v>
      </c>
      <c r="K304" t="s">
        <v>4655</v>
      </c>
    </row>
    <row r="305" spans="1:11" x14ac:dyDescent="0.3">
      <c r="A305" t="s">
        <v>476</v>
      </c>
      <c r="B305" t="s">
        <v>9</v>
      </c>
      <c r="C305" t="s">
        <v>2101</v>
      </c>
      <c r="D305" t="s">
        <v>4111</v>
      </c>
      <c r="E305" t="s">
        <v>2223</v>
      </c>
      <c r="F305" s="1" t="str">
        <f>HYPERLINK("http://ovidsp.ovid.com/ovidweb.cgi?T=JS&amp;NEWS=n&amp;CSC=Y&amp;PAGE=booktext&amp;D=books&amp;AN=01429595$&amp;XPATH=/PG(0)&amp;EPUB=Y","http://ovidsp.ovid.com/ovidweb.cgi?T=JS&amp;NEWS=n&amp;CSC=Y&amp;PAGE=booktext&amp;D=books&amp;AN=01429595$&amp;XPATH=/PG(0)&amp;EPUB=Y")</f>
        <v>http://ovidsp.ovid.com/ovidweb.cgi?T=JS&amp;NEWS=n&amp;CSC=Y&amp;PAGE=booktext&amp;D=books&amp;AN=01429595$&amp;XPATH=/PG(0)&amp;EPUB=Y</v>
      </c>
      <c r="G305" t="s">
        <v>2139</v>
      </c>
      <c r="H305" t="s">
        <v>2974</v>
      </c>
      <c r="I305">
        <v>1206726</v>
      </c>
      <c r="J305" t="s">
        <v>3263</v>
      </c>
      <c r="K305" t="s">
        <v>4494</v>
      </c>
    </row>
    <row r="306" spans="1:11" x14ac:dyDescent="0.3">
      <c r="A306" t="s">
        <v>1688</v>
      </c>
      <c r="B306" t="s">
        <v>987</v>
      </c>
      <c r="C306" t="s">
        <v>1278</v>
      </c>
      <c r="D306" t="s">
        <v>4111</v>
      </c>
      <c r="E306" t="s">
        <v>2223</v>
      </c>
      <c r="F306" s="1" t="str">
        <f>HYPERLINK("http://ovidsp.ovid.com/ovidweb.cgi?T=JS&amp;NEWS=n&amp;CSC=Y&amp;PAGE=booktext&amp;D=books&amp;AN=01429598$&amp;XPATH=/PG(0)&amp;EPUB=Y","http://ovidsp.ovid.com/ovidweb.cgi?T=JS&amp;NEWS=n&amp;CSC=Y&amp;PAGE=booktext&amp;D=books&amp;AN=01429598$&amp;XPATH=/PG(0)&amp;EPUB=Y")</f>
        <v>http://ovidsp.ovid.com/ovidweb.cgi?T=JS&amp;NEWS=n&amp;CSC=Y&amp;PAGE=booktext&amp;D=books&amp;AN=01429598$&amp;XPATH=/PG(0)&amp;EPUB=Y</v>
      </c>
      <c r="G306" t="s">
        <v>2139</v>
      </c>
      <c r="H306" t="s">
        <v>2974</v>
      </c>
      <c r="I306">
        <v>1206726</v>
      </c>
      <c r="J306" t="s">
        <v>3263</v>
      </c>
      <c r="K306" t="s">
        <v>2326</v>
      </c>
    </row>
    <row r="307" spans="1:11" x14ac:dyDescent="0.3">
      <c r="A307" t="s">
        <v>796</v>
      </c>
      <c r="B307" t="s">
        <v>2745</v>
      </c>
      <c r="C307" t="s">
        <v>598</v>
      </c>
      <c r="D307" t="s">
        <v>4111</v>
      </c>
      <c r="E307" t="s">
        <v>2223</v>
      </c>
      <c r="F307" s="1" t="str">
        <f>HYPERLINK("http://ovidsp.ovid.com/ovidweb.cgi?T=JS&amp;NEWS=n&amp;CSC=Y&amp;PAGE=booktext&amp;D=books&amp;AN=01429596$&amp;XPATH=/PG(0)&amp;EPUB=Y","http://ovidsp.ovid.com/ovidweb.cgi?T=JS&amp;NEWS=n&amp;CSC=Y&amp;PAGE=booktext&amp;D=books&amp;AN=01429596$&amp;XPATH=/PG(0)&amp;EPUB=Y")</f>
        <v>http://ovidsp.ovid.com/ovidweb.cgi?T=JS&amp;NEWS=n&amp;CSC=Y&amp;PAGE=booktext&amp;D=books&amp;AN=01429596$&amp;XPATH=/PG(0)&amp;EPUB=Y</v>
      </c>
      <c r="G307" t="s">
        <v>2139</v>
      </c>
      <c r="H307" t="s">
        <v>2974</v>
      </c>
      <c r="I307">
        <v>1206726</v>
      </c>
      <c r="J307" t="s">
        <v>3263</v>
      </c>
      <c r="K307" t="s">
        <v>110</v>
      </c>
    </row>
    <row r="308" spans="1:11" x14ac:dyDescent="0.3">
      <c r="A308" t="s">
        <v>2595</v>
      </c>
      <c r="B308" t="s">
        <v>3101</v>
      </c>
      <c r="C308" t="s">
        <v>337</v>
      </c>
      <c r="D308" t="s">
        <v>4111</v>
      </c>
      <c r="E308" t="s">
        <v>2223</v>
      </c>
      <c r="F308" s="1" t="str">
        <f>HYPERLINK("http://ovidsp.ovid.com/ovidweb.cgi?T=JS&amp;NEWS=n&amp;CSC=Y&amp;PAGE=booktext&amp;D=books&amp;AN=01429597$&amp;XPATH=/PG(0)&amp;EPUB=Y","http://ovidsp.ovid.com/ovidweb.cgi?T=JS&amp;NEWS=n&amp;CSC=Y&amp;PAGE=booktext&amp;D=books&amp;AN=01429597$&amp;XPATH=/PG(0)&amp;EPUB=Y")</f>
        <v>http://ovidsp.ovid.com/ovidweb.cgi?T=JS&amp;NEWS=n&amp;CSC=Y&amp;PAGE=booktext&amp;D=books&amp;AN=01429597$&amp;XPATH=/PG(0)&amp;EPUB=Y</v>
      </c>
      <c r="G308" t="s">
        <v>2139</v>
      </c>
      <c r="H308" t="s">
        <v>2974</v>
      </c>
      <c r="I308">
        <v>1206726</v>
      </c>
      <c r="J308" t="s">
        <v>3263</v>
      </c>
      <c r="K308" t="s">
        <v>2268</v>
      </c>
    </row>
    <row r="309" spans="1:11" x14ac:dyDescent="0.3">
      <c r="A309" t="s">
        <v>714</v>
      </c>
      <c r="B309" t="s">
        <v>3383</v>
      </c>
      <c r="C309" t="s">
        <v>4200</v>
      </c>
      <c r="D309" t="s">
        <v>4111</v>
      </c>
      <c r="E309" t="s">
        <v>3051</v>
      </c>
      <c r="F309" s="1" t="str">
        <f>HYPERLINK("http://ovidsp.ovid.com/ovidweb.cgi?T=JS&amp;NEWS=n&amp;CSC=Y&amp;PAGE=booktext&amp;D=books&amp;AN=01412546$&amp;XPATH=/PG(0)&amp;EPUB=Y","http://ovidsp.ovid.com/ovidweb.cgi?T=JS&amp;NEWS=n&amp;CSC=Y&amp;PAGE=booktext&amp;D=books&amp;AN=01412546$&amp;XPATH=/PG(0)&amp;EPUB=Y")</f>
        <v>http://ovidsp.ovid.com/ovidweb.cgi?T=JS&amp;NEWS=n&amp;CSC=Y&amp;PAGE=booktext&amp;D=books&amp;AN=01412546$&amp;XPATH=/PG(0)&amp;EPUB=Y</v>
      </c>
      <c r="G309" t="s">
        <v>2139</v>
      </c>
      <c r="H309" t="s">
        <v>2974</v>
      </c>
      <c r="I309">
        <v>1206726</v>
      </c>
      <c r="J309" t="s">
        <v>3263</v>
      </c>
      <c r="K309" t="s">
        <v>104</v>
      </c>
    </row>
    <row r="310" spans="1:11" x14ac:dyDescent="0.3">
      <c r="A310" t="s">
        <v>2274</v>
      </c>
      <c r="B310" t="s">
        <v>2795</v>
      </c>
      <c r="C310" t="s">
        <v>672</v>
      </c>
      <c r="D310" t="s">
        <v>4111</v>
      </c>
      <c r="E310" t="s">
        <v>2223</v>
      </c>
      <c r="F310" s="1" t="str">
        <f>HYPERLINK("http://ovidsp.ovid.com/ovidweb.cgi?T=JS&amp;NEWS=n&amp;CSC=Y&amp;PAGE=booktext&amp;D=books&amp;AN=01382527$&amp;XPATH=/PG(0)&amp;EPUB=Y","http://ovidsp.ovid.com/ovidweb.cgi?T=JS&amp;NEWS=n&amp;CSC=Y&amp;PAGE=booktext&amp;D=books&amp;AN=01382527$&amp;XPATH=/PG(0)&amp;EPUB=Y")</f>
        <v>http://ovidsp.ovid.com/ovidweb.cgi?T=JS&amp;NEWS=n&amp;CSC=Y&amp;PAGE=booktext&amp;D=books&amp;AN=01382527$&amp;XPATH=/PG(0)&amp;EPUB=Y</v>
      </c>
      <c r="G310" t="s">
        <v>2139</v>
      </c>
      <c r="H310" t="s">
        <v>2974</v>
      </c>
      <c r="I310">
        <v>1206726</v>
      </c>
      <c r="J310" t="s">
        <v>3263</v>
      </c>
      <c r="K310" t="s">
        <v>3905</v>
      </c>
    </row>
    <row r="311" spans="1:11" x14ac:dyDescent="0.3">
      <c r="A311" t="s">
        <v>105</v>
      </c>
      <c r="B311" t="s">
        <v>3701</v>
      </c>
      <c r="C311" t="s">
        <v>4632</v>
      </c>
      <c r="D311" t="s">
        <v>4111</v>
      </c>
      <c r="E311" t="s">
        <v>2970</v>
      </c>
      <c r="F311" s="1" t="str">
        <f>HYPERLINK("http://ovidsp.ovid.com/ovidweb.cgi?T=JS&amp;NEWS=n&amp;CSC=Y&amp;PAGE=booktext&amp;D=books&amp;AN=00139907$&amp;XPATH=/PG(0)&amp;EPUB=Y","http://ovidsp.ovid.com/ovidweb.cgi?T=JS&amp;NEWS=n&amp;CSC=Y&amp;PAGE=booktext&amp;D=books&amp;AN=00139907$&amp;XPATH=/PG(0)&amp;EPUB=Y")</f>
        <v>http://ovidsp.ovid.com/ovidweb.cgi?T=JS&amp;NEWS=n&amp;CSC=Y&amp;PAGE=booktext&amp;D=books&amp;AN=00139907$&amp;XPATH=/PG(0)&amp;EPUB=Y</v>
      </c>
      <c r="G311" t="s">
        <v>2139</v>
      </c>
      <c r="H311" t="s">
        <v>2974</v>
      </c>
      <c r="I311">
        <v>1206726</v>
      </c>
      <c r="J311" t="s">
        <v>3263</v>
      </c>
      <c r="K311" t="s">
        <v>2189</v>
      </c>
    </row>
    <row r="312" spans="1:11" x14ac:dyDescent="0.3">
      <c r="A312" t="s">
        <v>2960</v>
      </c>
      <c r="B312" t="s">
        <v>3972</v>
      </c>
      <c r="C312" t="s">
        <v>509</v>
      </c>
      <c r="D312" t="s">
        <v>4111</v>
      </c>
      <c r="E312" t="s">
        <v>404</v>
      </c>
      <c r="F312" s="1" t="str">
        <f>HYPERLINK("http://ovidsp.ovid.com/ovidweb.cgi?T=JS&amp;NEWS=n&amp;CSC=Y&amp;PAGE=booktext&amp;D=books&amp;AN=01256964$&amp;XPATH=/PG(0)&amp;EPUB=Y","http://ovidsp.ovid.com/ovidweb.cgi?T=JS&amp;NEWS=n&amp;CSC=Y&amp;PAGE=booktext&amp;D=books&amp;AN=01256964$&amp;XPATH=/PG(0)&amp;EPUB=Y")</f>
        <v>http://ovidsp.ovid.com/ovidweb.cgi?T=JS&amp;NEWS=n&amp;CSC=Y&amp;PAGE=booktext&amp;D=books&amp;AN=01256964$&amp;XPATH=/PG(0)&amp;EPUB=Y</v>
      </c>
      <c r="G312" t="s">
        <v>2139</v>
      </c>
      <c r="H312" t="s">
        <v>2974</v>
      </c>
      <c r="I312">
        <v>1206726</v>
      </c>
      <c r="J312" t="s">
        <v>3263</v>
      </c>
      <c r="K312" t="s">
        <v>2964</v>
      </c>
    </row>
    <row r="313" spans="1:11" x14ac:dyDescent="0.3">
      <c r="A313" t="s">
        <v>1856</v>
      </c>
      <c r="B313" t="s">
        <v>1750</v>
      </c>
      <c r="C313" t="s">
        <v>1160</v>
      </c>
      <c r="D313" t="s">
        <v>4111</v>
      </c>
      <c r="E313" t="s">
        <v>3051</v>
      </c>
      <c r="F313" s="1" t="str">
        <f>HYPERLINK("http://ovidsp.ovid.com/ovidweb.cgi?T=JS&amp;NEWS=n&amp;CSC=Y&amp;PAGE=booktext&amp;D=books&amp;AN=01244636$&amp;XPATH=/PG(0)&amp;EPUB=Y","http://ovidsp.ovid.com/ovidweb.cgi?T=JS&amp;NEWS=n&amp;CSC=Y&amp;PAGE=booktext&amp;D=books&amp;AN=01244636$&amp;XPATH=/PG(0)&amp;EPUB=Y")</f>
        <v>http://ovidsp.ovid.com/ovidweb.cgi?T=JS&amp;NEWS=n&amp;CSC=Y&amp;PAGE=booktext&amp;D=books&amp;AN=01244636$&amp;XPATH=/PG(0)&amp;EPUB=Y</v>
      </c>
      <c r="G313" t="s">
        <v>2139</v>
      </c>
      <c r="H313" t="s">
        <v>2974</v>
      </c>
      <c r="I313">
        <v>1206726</v>
      </c>
      <c r="J313" t="s">
        <v>3263</v>
      </c>
      <c r="K313" t="s">
        <v>4348</v>
      </c>
    </row>
    <row r="314" spans="1:11" x14ac:dyDescent="0.3">
      <c r="A314" t="s">
        <v>1047</v>
      </c>
      <c r="B314" t="s">
        <v>1180</v>
      </c>
      <c r="C314" t="s">
        <v>1977</v>
      </c>
      <c r="D314" t="s">
        <v>4111</v>
      </c>
      <c r="E314" t="s">
        <v>3051</v>
      </c>
      <c r="F314" s="1" t="str">
        <f>HYPERLINK("http://ovidsp.ovid.com/ovidweb.cgi?T=JS&amp;NEWS=n&amp;CSC=Y&amp;PAGE=booktext&amp;D=books&amp;AN=01382528$&amp;XPATH=/PG(0)&amp;EPUB=Y","http://ovidsp.ovid.com/ovidweb.cgi?T=JS&amp;NEWS=n&amp;CSC=Y&amp;PAGE=booktext&amp;D=books&amp;AN=01382528$&amp;XPATH=/PG(0)&amp;EPUB=Y")</f>
        <v>http://ovidsp.ovid.com/ovidweb.cgi?T=JS&amp;NEWS=n&amp;CSC=Y&amp;PAGE=booktext&amp;D=books&amp;AN=01382528$&amp;XPATH=/PG(0)&amp;EPUB=Y</v>
      </c>
      <c r="G314" t="s">
        <v>2139</v>
      </c>
      <c r="H314" t="s">
        <v>2974</v>
      </c>
      <c r="I314">
        <v>1206726</v>
      </c>
      <c r="J314" t="s">
        <v>3263</v>
      </c>
      <c r="K314" t="s">
        <v>4432</v>
      </c>
    </row>
    <row r="315" spans="1:11" x14ac:dyDescent="0.3">
      <c r="A315" t="s">
        <v>2231</v>
      </c>
      <c r="B315" t="s">
        <v>411</v>
      </c>
      <c r="C315" t="s">
        <v>3048</v>
      </c>
      <c r="D315" t="s">
        <v>4111</v>
      </c>
      <c r="E315" t="s">
        <v>2223</v>
      </c>
      <c r="F315" s="1" t="str">
        <f>HYPERLINK("http://ovidsp.ovid.com/ovidweb.cgi?T=JS&amp;NEWS=n&amp;CSC=Y&amp;PAGE=booktext&amp;D=books&amp;AN=01434792$&amp;XPATH=/PG(0)&amp;EPUB=Y","http://ovidsp.ovid.com/ovidweb.cgi?T=JS&amp;NEWS=n&amp;CSC=Y&amp;PAGE=booktext&amp;D=books&amp;AN=01434792$&amp;XPATH=/PG(0)&amp;EPUB=Y")</f>
        <v>http://ovidsp.ovid.com/ovidweb.cgi?T=JS&amp;NEWS=n&amp;CSC=Y&amp;PAGE=booktext&amp;D=books&amp;AN=01434792$&amp;XPATH=/PG(0)&amp;EPUB=Y</v>
      </c>
      <c r="G315" t="s">
        <v>2139</v>
      </c>
      <c r="H315" t="s">
        <v>2974</v>
      </c>
      <c r="I315">
        <v>1206726</v>
      </c>
      <c r="J315" t="s">
        <v>3263</v>
      </c>
      <c r="K315" t="s">
        <v>4189</v>
      </c>
    </row>
    <row r="316" spans="1:11" x14ac:dyDescent="0.3">
      <c r="A316" t="s">
        <v>990</v>
      </c>
      <c r="B316" t="s">
        <v>3035</v>
      </c>
      <c r="C316" t="s">
        <v>4637</v>
      </c>
      <c r="D316" t="s">
        <v>4111</v>
      </c>
      <c r="E316" t="s">
        <v>2223</v>
      </c>
      <c r="F316" s="1" t="str">
        <f>HYPERLINK("http://ovidsp.ovid.com/ovidweb.cgi?T=JS&amp;NEWS=n&amp;CSC=Y&amp;PAGE=booktext&amp;D=books&amp;AN=01382863$&amp;XPATH=/PG(0)&amp;EPUB=Y","http://ovidsp.ovid.com/ovidweb.cgi?T=JS&amp;NEWS=n&amp;CSC=Y&amp;PAGE=booktext&amp;D=books&amp;AN=01382863$&amp;XPATH=/PG(0)&amp;EPUB=Y")</f>
        <v>http://ovidsp.ovid.com/ovidweb.cgi?T=JS&amp;NEWS=n&amp;CSC=Y&amp;PAGE=booktext&amp;D=books&amp;AN=01382863$&amp;XPATH=/PG(0)&amp;EPUB=Y</v>
      </c>
      <c r="G316" t="s">
        <v>2139</v>
      </c>
      <c r="H316" t="s">
        <v>2974</v>
      </c>
      <c r="I316">
        <v>1206726</v>
      </c>
      <c r="J316" t="s">
        <v>3263</v>
      </c>
      <c r="K316" t="s">
        <v>2141</v>
      </c>
    </row>
    <row r="317" spans="1:11" x14ac:dyDescent="0.3">
      <c r="A317" t="s">
        <v>2697</v>
      </c>
      <c r="B317" t="s">
        <v>1452</v>
      </c>
      <c r="C317" t="s">
        <v>1347</v>
      </c>
      <c r="D317" t="s">
        <v>4111</v>
      </c>
      <c r="E317" t="s">
        <v>3051</v>
      </c>
      <c r="F317" s="1" t="str">
        <f>HYPERLINK("http://ovidsp.ovid.com/ovidweb.cgi?T=JS&amp;NEWS=n&amp;CSC=Y&amp;PAGE=booktext&amp;D=books&amp;AN=01429599$&amp;XPATH=/PG(0)&amp;EPUB=Y","http://ovidsp.ovid.com/ovidweb.cgi?T=JS&amp;NEWS=n&amp;CSC=Y&amp;PAGE=booktext&amp;D=books&amp;AN=01429599$&amp;XPATH=/PG(0)&amp;EPUB=Y")</f>
        <v>http://ovidsp.ovid.com/ovidweb.cgi?T=JS&amp;NEWS=n&amp;CSC=Y&amp;PAGE=booktext&amp;D=books&amp;AN=01429599$&amp;XPATH=/PG(0)&amp;EPUB=Y</v>
      </c>
      <c r="G317" t="s">
        <v>2139</v>
      </c>
      <c r="H317" t="s">
        <v>2974</v>
      </c>
      <c r="I317">
        <v>1206726</v>
      </c>
      <c r="J317" t="s">
        <v>3263</v>
      </c>
      <c r="K317" t="s">
        <v>1303</v>
      </c>
    </row>
    <row r="318" spans="1:11" x14ac:dyDescent="0.3">
      <c r="A318" t="s">
        <v>862</v>
      </c>
      <c r="B318" t="s">
        <v>4268</v>
      </c>
      <c r="C318" t="s">
        <v>2299</v>
      </c>
      <c r="D318" t="s">
        <v>4111</v>
      </c>
      <c r="E318" t="s">
        <v>2223</v>
      </c>
      <c r="F318" s="1" t="str">
        <f>HYPERLINK("http://ovidsp.ovid.com/ovidweb.cgi?T=JS&amp;NEWS=n&amp;CSC=Y&amp;PAGE=booktext&amp;D=books&amp;AN=01382785$&amp;XPATH=/PG(0)&amp;EPUB=Y","http://ovidsp.ovid.com/ovidweb.cgi?T=JS&amp;NEWS=n&amp;CSC=Y&amp;PAGE=booktext&amp;D=books&amp;AN=01382785$&amp;XPATH=/PG(0)&amp;EPUB=Y")</f>
        <v>http://ovidsp.ovid.com/ovidweb.cgi?T=JS&amp;NEWS=n&amp;CSC=Y&amp;PAGE=booktext&amp;D=books&amp;AN=01382785$&amp;XPATH=/PG(0)&amp;EPUB=Y</v>
      </c>
      <c r="G318" t="s">
        <v>2139</v>
      </c>
      <c r="H318" t="s">
        <v>2974</v>
      </c>
      <c r="I318">
        <v>1206726</v>
      </c>
      <c r="J318" t="s">
        <v>3263</v>
      </c>
      <c r="K318" t="s">
        <v>3663</v>
      </c>
    </row>
    <row r="319" spans="1:11" x14ac:dyDescent="0.3">
      <c r="A319" t="s">
        <v>3715</v>
      </c>
      <c r="B319" t="s">
        <v>198</v>
      </c>
      <c r="C319" t="s">
        <v>2739</v>
      </c>
      <c r="D319" t="s">
        <v>4111</v>
      </c>
      <c r="E319" t="s">
        <v>2223</v>
      </c>
      <c r="F319" s="1" t="str">
        <f>HYPERLINK("http://ovidsp.ovid.com/ovidweb.cgi?T=JS&amp;NEWS=n&amp;CSC=Y&amp;PAGE=booktext&amp;D=books&amp;AN=01382736$&amp;XPATH=/PG(0)&amp;EPUB=Y","http://ovidsp.ovid.com/ovidweb.cgi?T=JS&amp;NEWS=n&amp;CSC=Y&amp;PAGE=booktext&amp;D=books&amp;AN=01382736$&amp;XPATH=/PG(0)&amp;EPUB=Y")</f>
        <v>http://ovidsp.ovid.com/ovidweb.cgi?T=JS&amp;NEWS=n&amp;CSC=Y&amp;PAGE=booktext&amp;D=books&amp;AN=01382736$&amp;XPATH=/PG(0)&amp;EPUB=Y</v>
      </c>
      <c r="G319" t="s">
        <v>2139</v>
      </c>
      <c r="H319" t="s">
        <v>2974</v>
      </c>
      <c r="I319">
        <v>1206726</v>
      </c>
      <c r="J319" t="s">
        <v>3263</v>
      </c>
      <c r="K319" t="s">
        <v>3609</v>
      </c>
    </row>
    <row r="320" spans="1:11" x14ac:dyDescent="0.3">
      <c r="A320" t="s">
        <v>2405</v>
      </c>
      <c r="B320" t="s">
        <v>3129</v>
      </c>
      <c r="C320" t="s">
        <v>4269</v>
      </c>
      <c r="D320" t="s">
        <v>4111</v>
      </c>
      <c r="E320" t="s">
        <v>2223</v>
      </c>
      <c r="F320" s="1" t="str">
        <f>HYPERLINK("http://ovidsp.ovid.com/ovidweb.cgi?T=JS&amp;NEWS=n&amp;CSC=Y&amp;PAGE=booktext&amp;D=books&amp;AN=01382850$&amp;XPATH=/PG(0)&amp;EPUB=Y","http://ovidsp.ovid.com/ovidweb.cgi?T=JS&amp;NEWS=n&amp;CSC=Y&amp;PAGE=booktext&amp;D=books&amp;AN=01382850$&amp;XPATH=/PG(0)&amp;EPUB=Y")</f>
        <v>http://ovidsp.ovid.com/ovidweb.cgi?T=JS&amp;NEWS=n&amp;CSC=Y&amp;PAGE=booktext&amp;D=books&amp;AN=01382850$&amp;XPATH=/PG(0)&amp;EPUB=Y</v>
      </c>
      <c r="G320" t="s">
        <v>2139</v>
      </c>
      <c r="H320" t="s">
        <v>2974</v>
      </c>
      <c r="I320">
        <v>1206726</v>
      </c>
      <c r="J320" t="s">
        <v>3263</v>
      </c>
      <c r="K320" t="s">
        <v>1090</v>
      </c>
    </row>
    <row r="321" spans="1:11" x14ac:dyDescent="0.3">
      <c r="A321" t="s">
        <v>3974</v>
      </c>
      <c r="B321" t="s">
        <v>3525</v>
      </c>
      <c r="C321" t="s">
        <v>2103</v>
      </c>
      <c r="D321" t="s">
        <v>4111</v>
      </c>
      <c r="E321" t="s">
        <v>1104</v>
      </c>
      <c r="F321" s="1" t="str">
        <f>HYPERLINK("http://ovidsp.ovid.com/ovidweb.cgi?T=JS&amp;NEWS=n&amp;CSC=Y&amp;PAGE=booktext&amp;D=books&amp;AN=01382529$&amp;XPATH=/PG(0)&amp;EPUB=Y","http://ovidsp.ovid.com/ovidweb.cgi?T=JS&amp;NEWS=n&amp;CSC=Y&amp;PAGE=booktext&amp;D=books&amp;AN=01382529$&amp;XPATH=/PG(0)&amp;EPUB=Y")</f>
        <v>http://ovidsp.ovid.com/ovidweb.cgi?T=JS&amp;NEWS=n&amp;CSC=Y&amp;PAGE=booktext&amp;D=books&amp;AN=01382529$&amp;XPATH=/PG(0)&amp;EPUB=Y</v>
      </c>
      <c r="G321" t="s">
        <v>2139</v>
      </c>
      <c r="H321" t="s">
        <v>2974</v>
      </c>
      <c r="I321">
        <v>1206726</v>
      </c>
      <c r="J321" t="s">
        <v>3263</v>
      </c>
      <c r="K321" t="s">
        <v>2332</v>
      </c>
    </row>
    <row r="322" spans="1:11" x14ac:dyDescent="0.3">
      <c r="A322" t="s">
        <v>2874</v>
      </c>
      <c r="B322" t="s">
        <v>4440</v>
      </c>
      <c r="C322" t="s">
        <v>2629</v>
      </c>
      <c r="D322" t="s">
        <v>4111</v>
      </c>
      <c r="E322" t="s">
        <v>1595</v>
      </c>
      <c r="F322" s="1" t="str">
        <f>HYPERLINK("http://ovidsp.ovid.com/ovidweb.cgi?T=JS&amp;NEWS=n&amp;CSC=Y&amp;PAGE=booktext&amp;D=books&amp;AN=00139912$&amp;XPATH=/PG(0)&amp;EPUB=Y","http://ovidsp.ovid.com/ovidweb.cgi?T=JS&amp;NEWS=n&amp;CSC=Y&amp;PAGE=booktext&amp;D=books&amp;AN=00139912$&amp;XPATH=/PG(0)&amp;EPUB=Y")</f>
        <v>http://ovidsp.ovid.com/ovidweb.cgi?T=JS&amp;NEWS=n&amp;CSC=Y&amp;PAGE=booktext&amp;D=books&amp;AN=00139912$&amp;XPATH=/PG(0)&amp;EPUB=Y</v>
      </c>
      <c r="G322" t="s">
        <v>2139</v>
      </c>
      <c r="H322" t="s">
        <v>2974</v>
      </c>
      <c r="I322">
        <v>1206726</v>
      </c>
      <c r="J322" t="s">
        <v>3263</v>
      </c>
      <c r="K322" t="s">
        <v>610</v>
      </c>
    </row>
    <row r="323" spans="1:11" x14ac:dyDescent="0.3">
      <c r="A323" t="s">
        <v>4477</v>
      </c>
      <c r="B323" t="s">
        <v>2346</v>
      </c>
      <c r="C323" t="s">
        <v>195</v>
      </c>
      <c r="D323" t="s">
        <v>4111</v>
      </c>
      <c r="E323" t="s">
        <v>2565</v>
      </c>
      <c r="F323" s="1" t="str">
        <f>HYPERLINK("http://ovidsp.ovid.com/ovidweb.cgi?T=JS&amp;NEWS=n&amp;CSC=Y&amp;PAGE=booktext&amp;D=books&amp;AN=01812583$&amp;XPATH=/PG(0)&amp;EPUB=Y","http://ovidsp.ovid.com/ovidweb.cgi?T=JS&amp;NEWS=n&amp;CSC=Y&amp;PAGE=booktext&amp;D=books&amp;AN=01812583$&amp;XPATH=/PG(0)&amp;EPUB=Y")</f>
        <v>http://ovidsp.ovid.com/ovidweb.cgi?T=JS&amp;NEWS=n&amp;CSC=Y&amp;PAGE=booktext&amp;D=books&amp;AN=01812583$&amp;XPATH=/PG(0)&amp;EPUB=Y</v>
      </c>
      <c r="G323" t="s">
        <v>2139</v>
      </c>
      <c r="H323" t="s">
        <v>2974</v>
      </c>
      <c r="I323">
        <v>1206726</v>
      </c>
      <c r="J323" t="s">
        <v>3263</v>
      </c>
      <c r="K323" t="s">
        <v>2549</v>
      </c>
    </row>
    <row r="324" spans="1:11" x14ac:dyDescent="0.3">
      <c r="A324" t="s">
        <v>4477</v>
      </c>
      <c r="B324" t="s">
        <v>2043</v>
      </c>
      <c r="C324" t="s">
        <v>194</v>
      </c>
      <c r="D324" t="s">
        <v>4111</v>
      </c>
      <c r="E324" t="s">
        <v>4250</v>
      </c>
      <c r="F324" s="1" t="str">
        <f>HYPERLINK("http://ovidsp.ovid.com/ovidweb.cgi?T=JS&amp;NEWS=n&amp;CSC=Y&amp;PAGE=booktext&amp;D=books&amp;AN=01438854$&amp;XPATH=/PG(0)&amp;EPUB=Y","http://ovidsp.ovid.com/ovidweb.cgi?T=JS&amp;NEWS=n&amp;CSC=Y&amp;PAGE=booktext&amp;D=books&amp;AN=01438854$&amp;XPATH=/PG(0)&amp;EPUB=Y")</f>
        <v>http://ovidsp.ovid.com/ovidweb.cgi?T=JS&amp;NEWS=n&amp;CSC=Y&amp;PAGE=booktext&amp;D=books&amp;AN=01438854$&amp;XPATH=/PG(0)&amp;EPUB=Y</v>
      </c>
      <c r="G324" t="s">
        <v>2139</v>
      </c>
      <c r="H324" t="s">
        <v>2974</v>
      </c>
      <c r="I324">
        <v>1206726</v>
      </c>
      <c r="J324" t="s">
        <v>3263</v>
      </c>
      <c r="K324" t="s">
        <v>93</v>
      </c>
    </row>
    <row r="325" spans="1:11" x14ac:dyDescent="0.3">
      <c r="A325" t="s">
        <v>882</v>
      </c>
      <c r="B325" t="s">
        <v>1656</v>
      </c>
      <c r="C325" t="s">
        <v>4633</v>
      </c>
      <c r="D325" t="s">
        <v>4111</v>
      </c>
      <c r="E325" t="s">
        <v>3322</v>
      </c>
      <c r="F325" s="1" t="str">
        <f>HYPERLINK("http://ovidsp.ovid.com/ovidweb.cgi?T=JS&amp;NEWS=n&amp;CSC=Y&amp;PAGE=booktext&amp;D=books&amp;AN=01648000$&amp;XPATH=/PG(0)&amp;EPUB=Y","http://ovidsp.ovid.com/ovidweb.cgi?T=JS&amp;NEWS=n&amp;CSC=Y&amp;PAGE=booktext&amp;D=books&amp;AN=01648000$&amp;XPATH=/PG(0)&amp;EPUB=Y")</f>
        <v>http://ovidsp.ovid.com/ovidweb.cgi?T=JS&amp;NEWS=n&amp;CSC=Y&amp;PAGE=booktext&amp;D=books&amp;AN=01648000$&amp;XPATH=/PG(0)&amp;EPUB=Y</v>
      </c>
      <c r="G325" t="s">
        <v>2139</v>
      </c>
      <c r="H325" t="s">
        <v>2974</v>
      </c>
      <c r="I325">
        <v>1206726</v>
      </c>
      <c r="J325" t="s">
        <v>3263</v>
      </c>
      <c r="K325" t="s">
        <v>636</v>
      </c>
    </row>
    <row r="326" spans="1:11" x14ac:dyDescent="0.3">
      <c r="A326" t="s">
        <v>882</v>
      </c>
      <c r="B326" t="s">
        <v>2201</v>
      </c>
      <c r="C326" t="s">
        <v>1986</v>
      </c>
      <c r="D326" t="s">
        <v>4111</v>
      </c>
      <c r="E326" t="s">
        <v>4250</v>
      </c>
      <c r="F326" s="1" t="str">
        <f>HYPERLINK("http://ovidsp.ovid.com/ovidweb.cgi?T=JS&amp;NEWS=n&amp;CSC=Y&amp;PAGE=booktext&amp;D=books&amp;AN=01506774$&amp;XPATH=/PG(0)&amp;EPUB=Y","http://ovidsp.ovid.com/ovidweb.cgi?T=JS&amp;NEWS=n&amp;CSC=Y&amp;PAGE=booktext&amp;D=books&amp;AN=01506774$&amp;XPATH=/PG(0)&amp;EPUB=Y")</f>
        <v>http://ovidsp.ovid.com/ovidweb.cgi?T=JS&amp;NEWS=n&amp;CSC=Y&amp;PAGE=booktext&amp;D=books&amp;AN=01506774$&amp;XPATH=/PG(0)&amp;EPUB=Y</v>
      </c>
      <c r="G326" t="s">
        <v>2139</v>
      </c>
      <c r="H326" t="s">
        <v>2974</v>
      </c>
      <c r="I326">
        <v>1206726</v>
      </c>
      <c r="J326" t="s">
        <v>3263</v>
      </c>
      <c r="K326" t="s">
        <v>1323</v>
      </c>
    </row>
    <row r="327" spans="1:11" x14ac:dyDescent="0.3">
      <c r="A327" t="s">
        <v>882</v>
      </c>
      <c r="B327" t="s">
        <v>1294</v>
      </c>
      <c r="C327" t="s">
        <v>122</v>
      </c>
      <c r="D327" t="s">
        <v>4111</v>
      </c>
      <c r="E327" t="s">
        <v>3759</v>
      </c>
      <c r="F327" s="1" t="str">
        <f>HYPERLINK("http://ovidsp.ovid.com/ovidweb.cgi?T=JS&amp;NEWS=n&amp;CSC=Y&amp;PAGE=booktext&amp;D=books&amp;AN=01434428$&amp;XPATH=/PG(0)&amp;EPUB=Y","http://ovidsp.ovid.com/ovidweb.cgi?T=JS&amp;NEWS=n&amp;CSC=Y&amp;PAGE=booktext&amp;D=books&amp;AN=01434428$&amp;XPATH=/PG(0)&amp;EPUB=Y")</f>
        <v>http://ovidsp.ovid.com/ovidweb.cgi?T=JS&amp;NEWS=n&amp;CSC=Y&amp;PAGE=booktext&amp;D=books&amp;AN=01434428$&amp;XPATH=/PG(0)&amp;EPUB=Y</v>
      </c>
      <c r="G327" t="s">
        <v>2139</v>
      </c>
      <c r="H327" t="s">
        <v>2974</v>
      </c>
      <c r="I327">
        <v>1206726</v>
      </c>
      <c r="J327" t="s">
        <v>3263</v>
      </c>
      <c r="K327" t="s">
        <v>764</v>
      </c>
    </row>
    <row r="328" spans="1:11" x14ac:dyDescent="0.3">
      <c r="A328" t="s">
        <v>3138</v>
      </c>
      <c r="B328" t="s">
        <v>1551</v>
      </c>
      <c r="C328" t="s">
        <v>2497</v>
      </c>
      <c r="D328" t="s">
        <v>4111</v>
      </c>
      <c r="E328" t="s">
        <v>1595</v>
      </c>
      <c r="F328" s="1" t="str">
        <f>HYPERLINK("http://ovidsp.ovid.com/ovidweb.cgi?T=JS&amp;NEWS=n&amp;CSC=Y&amp;PAGE=booktext&amp;D=books&amp;AN=01257006$&amp;XPATH=/PG(0)&amp;EPUB=Y","http://ovidsp.ovid.com/ovidweb.cgi?T=JS&amp;NEWS=n&amp;CSC=Y&amp;PAGE=booktext&amp;D=books&amp;AN=01257006$&amp;XPATH=/PG(0)&amp;EPUB=Y")</f>
        <v>http://ovidsp.ovid.com/ovidweb.cgi?T=JS&amp;NEWS=n&amp;CSC=Y&amp;PAGE=booktext&amp;D=books&amp;AN=01257006$&amp;XPATH=/PG(0)&amp;EPUB=Y</v>
      </c>
      <c r="G328" t="s">
        <v>2139</v>
      </c>
      <c r="H328" t="s">
        <v>2974</v>
      </c>
      <c r="I328">
        <v>1206726</v>
      </c>
      <c r="J328" t="s">
        <v>3263</v>
      </c>
      <c r="K328" t="s">
        <v>2138</v>
      </c>
    </row>
    <row r="329" spans="1:11" x14ac:dyDescent="0.3">
      <c r="A329" t="s">
        <v>3799</v>
      </c>
      <c r="B329" t="s">
        <v>1469</v>
      </c>
      <c r="C329" t="s">
        <v>952</v>
      </c>
      <c r="D329" t="s">
        <v>4111</v>
      </c>
      <c r="E329" t="s">
        <v>2223</v>
      </c>
      <c r="F329" s="1" t="str">
        <f>HYPERLINK("http://ovidsp.ovid.com/ovidweb.cgi?T=JS&amp;NEWS=n&amp;CSC=Y&amp;PAGE=booktext&amp;D=books&amp;AN=01434668$&amp;XPATH=/PG(0)&amp;EPUB=Y","http://ovidsp.ovid.com/ovidweb.cgi?T=JS&amp;NEWS=n&amp;CSC=Y&amp;PAGE=booktext&amp;D=books&amp;AN=01434668$&amp;XPATH=/PG(0)&amp;EPUB=Y")</f>
        <v>http://ovidsp.ovid.com/ovidweb.cgi?T=JS&amp;NEWS=n&amp;CSC=Y&amp;PAGE=booktext&amp;D=books&amp;AN=01434668$&amp;XPATH=/PG(0)&amp;EPUB=Y</v>
      </c>
      <c r="G329" t="s">
        <v>2139</v>
      </c>
      <c r="H329" t="s">
        <v>2974</v>
      </c>
      <c r="I329">
        <v>1206726</v>
      </c>
      <c r="J329" t="s">
        <v>3263</v>
      </c>
      <c r="K329" t="s">
        <v>4582</v>
      </c>
    </row>
    <row r="330" spans="1:11" x14ac:dyDescent="0.3">
      <c r="A330" t="s">
        <v>421</v>
      </c>
      <c r="B330" t="s">
        <v>4703</v>
      </c>
      <c r="C330" t="s">
        <v>3139</v>
      </c>
      <c r="D330" t="s">
        <v>4111</v>
      </c>
      <c r="E330" t="s">
        <v>3051</v>
      </c>
      <c r="F330" s="1" t="str">
        <f>HYPERLINK("http://ovidsp.ovid.com/ovidweb.cgi?T=JS&amp;NEWS=n&amp;CSC=Y&amp;PAGE=booktext&amp;D=books&amp;AN=01382530$&amp;XPATH=/PG(0)&amp;EPUB=Y","http://ovidsp.ovid.com/ovidweb.cgi?T=JS&amp;NEWS=n&amp;CSC=Y&amp;PAGE=booktext&amp;D=books&amp;AN=01382530$&amp;XPATH=/PG(0)&amp;EPUB=Y")</f>
        <v>http://ovidsp.ovid.com/ovidweb.cgi?T=JS&amp;NEWS=n&amp;CSC=Y&amp;PAGE=booktext&amp;D=books&amp;AN=01382530$&amp;XPATH=/PG(0)&amp;EPUB=Y</v>
      </c>
      <c r="G330" t="s">
        <v>2139</v>
      </c>
      <c r="H330" t="s">
        <v>2974</v>
      </c>
      <c r="I330">
        <v>1206726</v>
      </c>
      <c r="J330" t="s">
        <v>3263</v>
      </c>
      <c r="K330" t="s">
        <v>3781</v>
      </c>
    </row>
    <row r="331" spans="1:11" x14ac:dyDescent="0.3">
      <c r="A331" t="s">
        <v>1083</v>
      </c>
      <c r="B331" t="s">
        <v>1</v>
      </c>
      <c r="C331" t="s">
        <v>2703</v>
      </c>
      <c r="D331" t="s">
        <v>4111</v>
      </c>
      <c r="E331" t="s">
        <v>404</v>
      </c>
      <c r="F331" s="1" t="str">
        <f>HYPERLINK("http://ovidsp.ovid.com/ovidweb.cgi?T=JS&amp;NEWS=n&amp;CSC=Y&amp;PAGE=booktext&amp;D=books&amp;AN=01429600$&amp;XPATH=/PG(0)&amp;EPUB=Y","http://ovidsp.ovid.com/ovidweb.cgi?T=JS&amp;NEWS=n&amp;CSC=Y&amp;PAGE=booktext&amp;D=books&amp;AN=01429600$&amp;XPATH=/PG(0)&amp;EPUB=Y")</f>
        <v>http://ovidsp.ovid.com/ovidweb.cgi?T=JS&amp;NEWS=n&amp;CSC=Y&amp;PAGE=booktext&amp;D=books&amp;AN=01429600$&amp;XPATH=/PG(0)&amp;EPUB=Y</v>
      </c>
      <c r="G331" t="s">
        <v>2139</v>
      </c>
      <c r="H331" t="s">
        <v>2974</v>
      </c>
      <c r="I331">
        <v>1206726</v>
      </c>
      <c r="J331" t="s">
        <v>3263</v>
      </c>
      <c r="K331" t="s">
        <v>2636</v>
      </c>
    </row>
    <row r="332" spans="1:11" x14ac:dyDescent="0.3">
      <c r="A332" t="s">
        <v>1642</v>
      </c>
      <c r="B332" t="s">
        <v>3458</v>
      </c>
      <c r="C332" t="s">
        <v>183</v>
      </c>
      <c r="D332" t="s">
        <v>4111</v>
      </c>
      <c r="E332" t="s">
        <v>2876</v>
      </c>
      <c r="F332" s="1" t="str">
        <f>HYPERLINK("http://ovidsp.ovid.com/ovidweb.cgi?T=JS&amp;NEWS=n&amp;CSC=Y&amp;PAGE=booktext&amp;D=books&amp;AN=01437512$&amp;XPATH=/PG(0)&amp;EPUB=Y","http://ovidsp.ovid.com/ovidweb.cgi?T=JS&amp;NEWS=n&amp;CSC=Y&amp;PAGE=booktext&amp;D=books&amp;AN=01437512$&amp;XPATH=/PG(0)&amp;EPUB=Y")</f>
        <v>http://ovidsp.ovid.com/ovidweb.cgi?T=JS&amp;NEWS=n&amp;CSC=Y&amp;PAGE=booktext&amp;D=books&amp;AN=01437512$&amp;XPATH=/PG(0)&amp;EPUB=Y</v>
      </c>
      <c r="G332" t="s">
        <v>2139</v>
      </c>
      <c r="H332" t="s">
        <v>2974</v>
      </c>
      <c r="I332">
        <v>1206726</v>
      </c>
      <c r="J332" t="s">
        <v>3263</v>
      </c>
      <c r="K332" t="s">
        <v>228</v>
      </c>
    </row>
    <row r="333" spans="1:11" x14ac:dyDescent="0.3">
      <c r="A333" t="s">
        <v>3652</v>
      </c>
      <c r="B333" t="s">
        <v>2300</v>
      </c>
      <c r="C333" t="s">
        <v>2447</v>
      </c>
      <c r="D333" t="s">
        <v>4111</v>
      </c>
      <c r="E333" t="s">
        <v>2223</v>
      </c>
      <c r="F333" s="1" t="str">
        <f>HYPERLINK("http://ovidsp.ovid.com/ovidweb.cgi?T=JS&amp;NEWS=n&amp;CSC=Y&amp;PAGE=booktext&amp;D=books&amp;AN=01382873$&amp;XPATH=/PG(0)&amp;EPUB=Y","http://ovidsp.ovid.com/ovidweb.cgi?T=JS&amp;NEWS=n&amp;CSC=Y&amp;PAGE=booktext&amp;D=books&amp;AN=01382873$&amp;XPATH=/PG(0)&amp;EPUB=Y")</f>
        <v>http://ovidsp.ovid.com/ovidweb.cgi?T=JS&amp;NEWS=n&amp;CSC=Y&amp;PAGE=booktext&amp;D=books&amp;AN=01382873$&amp;XPATH=/PG(0)&amp;EPUB=Y</v>
      </c>
      <c r="G333" t="s">
        <v>2139</v>
      </c>
      <c r="H333" t="s">
        <v>2974</v>
      </c>
      <c r="I333">
        <v>1206726</v>
      </c>
      <c r="J333" t="s">
        <v>3263</v>
      </c>
      <c r="K333" t="s">
        <v>2558</v>
      </c>
    </row>
    <row r="334" spans="1:11" x14ac:dyDescent="0.3">
      <c r="A334" t="s">
        <v>3579</v>
      </c>
      <c r="B334" t="s">
        <v>3503</v>
      </c>
      <c r="C334" t="s">
        <v>4153</v>
      </c>
      <c r="D334" t="s">
        <v>4111</v>
      </c>
      <c r="E334" t="s">
        <v>404</v>
      </c>
      <c r="F334" s="1" t="str">
        <f>HYPERLINK("http://ovidsp.ovid.com/ovidweb.cgi?T=JS&amp;NEWS=n&amp;CSC=Y&amp;PAGE=booktext&amp;D=books&amp;AN=01429601$&amp;XPATH=/PG(0)&amp;EPUB=Y","http://ovidsp.ovid.com/ovidweb.cgi?T=JS&amp;NEWS=n&amp;CSC=Y&amp;PAGE=booktext&amp;D=books&amp;AN=01429601$&amp;XPATH=/PG(0)&amp;EPUB=Y")</f>
        <v>http://ovidsp.ovid.com/ovidweb.cgi?T=JS&amp;NEWS=n&amp;CSC=Y&amp;PAGE=booktext&amp;D=books&amp;AN=01429601$&amp;XPATH=/PG(0)&amp;EPUB=Y</v>
      </c>
      <c r="G334" t="s">
        <v>2139</v>
      </c>
      <c r="H334" t="s">
        <v>2974</v>
      </c>
      <c r="I334">
        <v>1206726</v>
      </c>
      <c r="J334" t="s">
        <v>3263</v>
      </c>
      <c r="K334" t="s">
        <v>4513</v>
      </c>
    </row>
    <row r="335" spans="1:11" x14ac:dyDescent="0.3">
      <c r="A335" t="s">
        <v>212</v>
      </c>
      <c r="B335" t="s">
        <v>1540</v>
      </c>
      <c r="C335" t="s">
        <v>3365</v>
      </c>
      <c r="D335" t="s">
        <v>4111</v>
      </c>
      <c r="E335" t="s">
        <v>2223</v>
      </c>
      <c r="F335" s="1" t="str">
        <f>HYPERLINK("http://ovidsp.ovid.com/ovidweb.cgi?T=JS&amp;NEWS=n&amp;CSC=Y&amp;PAGE=booktext&amp;D=books&amp;AN=01382738$&amp;XPATH=/PG(0)&amp;EPUB=Y","http://ovidsp.ovid.com/ovidweb.cgi?T=JS&amp;NEWS=n&amp;CSC=Y&amp;PAGE=booktext&amp;D=books&amp;AN=01382738$&amp;XPATH=/PG(0)&amp;EPUB=Y")</f>
        <v>http://ovidsp.ovid.com/ovidweb.cgi?T=JS&amp;NEWS=n&amp;CSC=Y&amp;PAGE=booktext&amp;D=books&amp;AN=01382738$&amp;XPATH=/PG(0)&amp;EPUB=Y</v>
      </c>
      <c r="G335" t="s">
        <v>2139</v>
      </c>
      <c r="H335" t="s">
        <v>2974</v>
      </c>
      <c r="I335">
        <v>1206726</v>
      </c>
      <c r="J335" t="s">
        <v>3263</v>
      </c>
      <c r="K335" t="s">
        <v>3158</v>
      </c>
    </row>
    <row r="336" spans="1:11" x14ac:dyDescent="0.3">
      <c r="A336" t="s">
        <v>4218</v>
      </c>
      <c r="B336" t="s">
        <v>2596</v>
      </c>
      <c r="C336" t="s">
        <v>1242</v>
      </c>
      <c r="D336" t="s">
        <v>4111</v>
      </c>
      <c r="E336" t="s">
        <v>2223</v>
      </c>
      <c r="F336" s="1" t="str">
        <f>HYPERLINK("http://ovidsp.ovid.com/ovidweb.cgi?T=JS&amp;NEWS=n&amp;CSC=Y&amp;PAGE=booktext&amp;D=books&amp;AN=01429602$&amp;XPATH=/PG(0)&amp;EPUB=Y","http://ovidsp.ovid.com/ovidweb.cgi?T=JS&amp;NEWS=n&amp;CSC=Y&amp;PAGE=booktext&amp;D=books&amp;AN=01429602$&amp;XPATH=/PG(0)&amp;EPUB=Y")</f>
        <v>http://ovidsp.ovid.com/ovidweb.cgi?T=JS&amp;NEWS=n&amp;CSC=Y&amp;PAGE=booktext&amp;D=books&amp;AN=01429602$&amp;XPATH=/PG(0)&amp;EPUB=Y</v>
      </c>
      <c r="G336" t="s">
        <v>2139</v>
      </c>
      <c r="H336" t="s">
        <v>2974</v>
      </c>
      <c r="I336">
        <v>1206726</v>
      </c>
      <c r="J336" t="s">
        <v>3263</v>
      </c>
      <c r="K336" t="s">
        <v>3981</v>
      </c>
    </row>
    <row r="337" spans="1:11" x14ac:dyDescent="0.3">
      <c r="A337" t="s">
        <v>2668</v>
      </c>
      <c r="B337" t="s">
        <v>1968</v>
      </c>
      <c r="C337" t="s">
        <v>2102</v>
      </c>
      <c r="D337" t="s">
        <v>4111</v>
      </c>
      <c r="E337" t="s">
        <v>2223</v>
      </c>
      <c r="F337" s="1" t="str">
        <f>HYPERLINK("http://ovidsp.ovid.com/ovidweb.cgi?T=JS&amp;NEWS=n&amp;CSC=Y&amp;PAGE=booktext&amp;D=books&amp;AN=01382780$&amp;XPATH=/PG(0)&amp;EPUB=Y","http://ovidsp.ovid.com/ovidweb.cgi?T=JS&amp;NEWS=n&amp;CSC=Y&amp;PAGE=booktext&amp;D=books&amp;AN=01382780$&amp;XPATH=/PG(0)&amp;EPUB=Y")</f>
        <v>http://ovidsp.ovid.com/ovidweb.cgi?T=JS&amp;NEWS=n&amp;CSC=Y&amp;PAGE=booktext&amp;D=books&amp;AN=01382780$&amp;XPATH=/PG(0)&amp;EPUB=Y</v>
      </c>
      <c r="G337" t="s">
        <v>2139</v>
      </c>
      <c r="H337" t="s">
        <v>2974</v>
      </c>
      <c r="I337">
        <v>1206726</v>
      </c>
      <c r="J337" t="s">
        <v>3263</v>
      </c>
      <c r="K337" t="s">
        <v>1235</v>
      </c>
    </row>
    <row r="338" spans="1:11" x14ac:dyDescent="0.3">
      <c r="A338" t="s">
        <v>2793</v>
      </c>
      <c r="B338" t="s">
        <v>2083</v>
      </c>
      <c r="C338" t="s">
        <v>3724</v>
      </c>
      <c r="D338" t="s">
        <v>4111</v>
      </c>
      <c r="E338" t="s">
        <v>3387</v>
      </c>
      <c r="F338" s="1" t="str">
        <f>HYPERLINK("http://ovidsp.ovid.com/ovidweb.cgi?T=JS&amp;NEWS=n&amp;CSC=Y&amp;PAGE=booktext&amp;D=books&amp;AN=01438855$&amp;XPATH=/PG(0)&amp;EPUB=Y","http://ovidsp.ovid.com/ovidweb.cgi?T=JS&amp;NEWS=n&amp;CSC=Y&amp;PAGE=booktext&amp;D=books&amp;AN=01438855$&amp;XPATH=/PG(0)&amp;EPUB=Y")</f>
        <v>http://ovidsp.ovid.com/ovidweb.cgi?T=JS&amp;NEWS=n&amp;CSC=Y&amp;PAGE=booktext&amp;D=books&amp;AN=01438855$&amp;XPATH=/PG(0)&amp;EPUB=Y</v>
      </c>
      <c r="G338" t="s">
        <v>2139</v>
      </c>
      <c r="H338" t="s">
        <v>2974</v>
      </c>
      <c r="I338">
        <v>1206726</v>
      </c>
      <c r="J338" t="s">
        <v>3263</v>
      </c>
      <c r="K338" t="s">
        <v>2016</v>
      </c>
    </row>
    <row r="339" spans="1:11" x14ac:dyDescent="0.3">
      <c r="A339" t="s">
        <v>3306</v>
      </c>
      <c r="B339" t="s">
        <v>1328</v>
      </c>
      <c r="C339" t="s">
        <v>675</v>
      </c>
      <c r="D339" t="s">
        <v>919</v>
      </c>
      <c r="E339" t="s">
        <v>1104</v>
      </c>
      <c r="F339" s="1" t="str">
        <f>HYPERLINK("http://ovidsp.ovid.com/ovidweb.cgi?T=JS&amp;NEWS=n&amp;CSC=Y&amp;PAGE=booktext&amp;D=books&amp;AN=01256965$&amp;XPATH=/PG(0)&amp;EPUB=Y","http://ovidsp.ovid.com/ovidweb.cgi?T=JS&amp;NEWS=n&amp;CSC=Y&amp;PAGE=booktext&amp;D=books&amp;AN=01256965$&amp;XPATH=/PG(0)&amp;EPUB=Y")</f>
        <v>http://ovidsp.ovid.com/ovidweb.cgi?T=JS&amp;NEWS=n&amp;CSC=Y&amp;PAGE=booktext&amp;D=books&amp;AN=01256965$&amp;XPATH=/PG(0)&amp;EPUB=Y</v>
      </c>
      <c r="G339" t="s">
        <v>2139</v>
      </c>
      <c r="H339" t="s">
        <v>2974</v>
      </c>
      <c r="I339">
        <v>1206726</v>
      </c>
      <c r="J339" t="s">
        <v>3263</v>
      </c>
      <c r="K339" t="s">
        <v>168</v>
      </c>
    </row>
    <row r="340" spans="1:11" x14ac:dyDescent="0.3">
      <c r="A340" t="s">
        <v>3513</v>
      </c>
      <c r="B340" t="s">
        <v>2681</v>
      </c>
      <c r="C340" t="s">
        <v>4616</v>
      </c>
      <c r="D340" t="s">
        <v>4111</v>
      </c>
      <c r="E340" t="s">
        <v>2223</v>
      </c>
      <c r="F340" s="1" t="str">
        <f>HYPERLINK("http://ovidsp.ovid.com/ovidweb.cgi?T=JS&amp;NEWS=n&amp;CSC=Y&amp;PAGE=booktext&amp;D=books&amp;AN=01429407$&amp;XPATH=/PG(0)&amp;EPUB=Y","http://ovidsp.ovid.com/ovidweb.cgi?T=JS&amp;NEWS=n&amp;CSC=Y&amp;PAGE=booktext&amp;D=books&amp;AN=01429407$&amp;XPATH=/PG(0)&amp;EPUB=Y")</f>
        <v>http://ovidsp.ovid.com/ovidweb.cgi?T=JS&amp;NEWS=n&amp;CSC=Y&amp;PAGE=booktext&amp;D=books&amp;AN=01429407$&amp;XPATH=/PG(0)&amp;EPUB=Y</v>
      </c>
      <c r="G340" t="s">
        <v>2139</v>
      </c>
      <c r="H340" t="s">
        <v>2974</v>
      </c>
      <c r="I340">
        <v>1206726</v>
      </c>
      <c r="J340" t="s">
        <v>3263</v>
      </c>
      <c r="K340" t="s">
        <v>4561</v>
      </c>
    </row>
    <row r="341" spans="1:11" x14ac:dyDescent="0.3">
      <c r="A341" t="s">
        <v>3640</v>
      </c>
      <c r="B341" t="s">
        <v>4167</v>
      </c>
      <c r="C341" t="s">
        <v>3324</v>
      </c>
      <c r="D341" t="s">
        <v>4111</v>
      </c>
      <c r="E341" t="s">
        <v>2223</v>
      </c>
      <c r="F341" s="1" t="str">
        <f>HYPERLINK("http://ovidsp.ovid.com/ovidweb.cgi?T=JS&amp;NEWS=n&amp;CSC=Y&amp;PAGE=booktext&amp;D=books&amp;AN=01720604$&amp;XPATH=/PG(0)&amp;EPUB=Y","http://ovidsp.ovid.com/ovidweb.cgi?T=JS&amp;NEWS=n&amp;CSC=Y&amp;PAGE=booktext&amp;D=books&amp;AN=01720604$&amp;XPATH=/PG(0)&amp;EPUB=Y")</f>
        <v>http://ovidsp.ovid.com/ovidweb.cgi?T=JS&amp;NEWS=n&amp;CSC=Y&amp;PAGE=booktext&amp;D=books&amp;AN=01720604$&amp;XPATH=/PG(0)&amp;EPUB=Y</v>
      </c>
      <c r="G341" t="s">
        <v>2139</v>
      </c>
      <c r="H341" t="s">
        <v>2974</v>
      </c>
      <c r="I341">
        <v>1206726</v>
      </c>
      <c r="J341" t="s">
        <v>3263</v>
      </c>
      <c r="K341" t="s">
        <v>3351</v>
      </c>
    </row>
    <row r="342" spans="1:11" x14ac:dyDescent="0.3">
      <c r="A342" t="s">
        <v>2404</v>
      </c>
      <c r="B342" t="s">
        <v>1934</v>
      </c>
      <c r="C342" t="s">
        <v>269</v>
      </c>
      <c r="D342" t="s">
        <v>4111</v>
      </c>
      <c r="E342" t="s">
        <v>2223</v>
      </c>
      <c r="F342" s="1" t="str">
        <f>HYPERLINK("http://ovidsp.ovid.com/ovidweb.cgi?T=JS&amp;NEWS=n&amp;CSC=Y&amp;PAGE=booktext&amp;D=books&amp;AN=01382500$&amp;XPATH=/PG(0)&amp;EPUB=Y","http://ovidsp.ovid.com/ovidweb.cgi?T=JS&amp;NEWS=n&amp;CSC=Y&amp;PAGE=booktext&amp;D=books&amp;AN=01382500$&amp;XPATH=/PG(0)&amp;EPUB=Y")</f>
        <v>http://ovidsp.ovid.com/ovidweb.cgi?T=JS&amp;NEWS=n&amp;CSC=Y&amp;PAGE=booktext&amp;D=books&amp;AN=01382500$&amp;XPATH=/PG(0)&amp;EPUB=Y</v>
      </c>
      <c r="G342" t="s">
        <v>2139</v>
      </c>
      <c r="H342" t="s">
        <v>2974</v>
      </c>
      <c r="I342">
        <v>1206726</v>
      </c>
      <c r="J342" t="s">
        <v>3263</v>
      </c>
      <c r="K342" t="s">
        <v>4711</v>
      </c>
    </row>
    <row r="343" spans="1:11" x14ac:dyDescent="0.3">
      <c r="A343" t="s">
        <v>2815</v>
      </c>
      <c r="B343" t="s">
        <v>4568</v>
      </c>
      <c r="C343" t="s">
        <v>3718</v>
      </c>
      <c r="D343" t="s">
        <v>4111</v>
      </c>
      <c r="E343" t="s">
        <v>2876</v>
      </c>
      <c r="F343" s="1" t="str">
        <f>HYPERLINK("http://ovidsp.ovid.com/ovidweb.cgi?T=JS&amp;NEWS=n&amp;CSC=Y&amp;PAGE=booktext&amp;D=books&amp;AN=01222988$&amp;XPATH=/PG(0)&amp;EPUB=Y","http://ovidsp.ovid.com/ovidweb.cgi?T=JS&amp;NEWS=n&amp;CSC=Y&amp;PAGE=booktext&amp;D=books&amp;AN=01222988$&amp;XPATH=/PG(0)&amp;EPUB=Y")</f>
        <v>http://ovidsp.ovid.com/ovidweb.cgi?T=JS&amp;NEWS=n&amp;CSC=Y&amp;PAGE=booktext&amp;D=books&amp;AN=01222988$&amp;XPATH=/PG(0)&amp;EPUB=Y</v>
      </c>
      <c r="G343" t="s">
        <v>2139</v>
      </c>
      <c r="H343" t="s">
        <v>2974</v>
      </c>
      <c r="I343">
        <v>1206726</v>
      </c>
      <c r="J343" t="s">
        <v>3263</v>
      </c>
      <c r="K343" t="s">
        <v>184</v>
      </c>
    </row>
    <row r="344" spans="1:11" x14ac:dyDescent="0.3">
      <c r="A344" t="s">
        <v>999</v>
      </c>
      <c r="B344" t="s">
        <v>2422</v>
      </c>
      <c r="C344" t="s">
        <v>2413</v>
      </c>
      <c r="D344" t="s">
        <v>4111</v>
      </c>
      <c r="E344" t="s">
        <v>404</v>
      </c>
      <c r="F344" s="1" t="str">
        <f>HYPERLINK("http://ovidsp.ovid.com/ovidweb.cgi?T=JS&amp;NEWS=n&amp;CSC=Y&amp;PAGE=booktext&amp;D=books&amp;AN=01382762$&amp;XPATH=/PG(0)&amp;EPUB=Y","http://ovidsp.ovid.com/ovidweb.cgi?T=JS&amp;NEWS=n&amp;CSC=Y&amp;PAGE=booktext&amp;D=books&amp;AN=01382762$&amp;XPATH=/PG(0)&amp;EPUB=Y")</f>
        <v>http://ovidsp.ovid.com/ovidweb.cgi?T=JS&amp;NEWS=n&amp;CSC=Y&amp;PAGE=booktext&amp;D=books&amp;AN=01382762$&amp;XPATH=/PG(0)&amp;EPUB=Y</v>
      </c>
      <c r="G344" t="s">
        <v>2139</v>
      </c>
      <c r="H344" t="s">
        <v>2974</v>
      </c>
      <c r="I344">
        <v>1206726</v>
      </c>
      <c r="J344" t="s">
        <v>3263</v>
      </c>
      <c r="K344" t="s">
        <v>3224</v>
      </c>
    </row>
    <row r="345" spans="1:11" x14ac:dyDescent="0.3">
      <c r="A345" t="s">
        <v>2917</v>
      </c>
      <c r="B345" t="s">
        <v>4423</v>
      </c>
      <c r="C345" t="s">
        <v>4510</v>
      </c>
      <c r="D345" t="s">
        <v>4111</v>
      </c>
      <c r="E345" t="s">
        <v>2223</v>
      </c>
      <c r="F345" s="1" t="str">
        <f>HYPERLINK("http://ovidsp.ovid.com/ovidweb.cgi?T=JS&amp;NEWS=n&amp;CSC=Y&amp;PAGE=booktext&amp;D=books&amp;AN=01435755$&amp;XPATH=/PG(0)&amp;EPUB=Y","http://ovidsp.ovid.com/ovidweb.cgi?T=JS&amp;NEWS=n&amp;CSC=Y&amp;PAGE=booktext&amp;D=books&amp;AN=01435755$&amp;XPATH=/PG(0)&amp;EPUB=Y")</f>
        <v>http://ovidsp.ovid.com/ovidweb.cgi?T=JS&amp;NEWS=n&amp;CSC=Y&amp;PAGE=booktext&amp;D=books&amp;AN=01435755$&amp;XPATH=/PG(0)&amp;EPUB=Y</v>
      </c>
      <c r="G345" t="s">
        <v>2139</v>
      </c>
      <c r="H345" t="s">
        <v>2974</v>
      </c>
      <c r="I345">
        <v>1206726</v>
      </c>
      <c r="J345" t="s">
        <v>3263</v>
      </c>
      <c r="K345" t="s">
        <v>4265</v>
      </c>
    </row>
    <row r="346" spans="1:11" x14ac:dyDescent="0.3">
      <c r="A346" t="s">
        <v>3140</v>
      </c>
      <c r="B346" t="s">
        <v>2950</v>
      </c>
      <c r="C346" t="s">
        <v>3961</v>
      </c>
      <c r="D346" t="s">
        <v>4111</v>
      </c>
      <c r="E346" t="s">
        <v>2223</v>
      </c>
      <c r="F346" s="1" t="str">
        <f>HYPERLINK("http://ovidsp.ovid.com/ovidweb.cgi?T=JS&amp;NEWS=n&amp;CSC=Y&amp;PAGE=booktext&amp;D=books&amp;AN=01382797$&amp;XPATH=/PG(0)&amp;EPUB=Y","http://ovidsp.ovid.com/ovidweb.cgi?T=JS&amp;NEWS=n&amp;CSC=Y&amp;PAGE=booktext&amp;D=books&amp;AN=01382797$&amp;XPATH=/PG(0)&amp;EPUB=Y")</f>
        <v>http://ovidsp.ovid.com/ovidweb.cgi?T=JS&amp;NEWS=n&amp;CSC=Y&amp;PAGE=booktext&amp;D=books&amp;AN=01382797$&amp;XPATH=/PG(0)&amp;EPUB=Y</v>
      </c>
      <c r="G346" t="s">
        <v>2139</v>
      </c>
      <c r="H346" t="s">
        <v>2974</v>
      </c>
      <c r="I346">
        <v>1206726</v>
      </c>
      <c r="J346" t="s">
        <v>3263</v>
      </c>
      <c r="K346" t="s">
        <v>760</v>
      </c>
    </row>
    <row r="347" spans="1:11" x14ac:dyDescent="0.3">
      <c r="A347" t="s">
        <v>959</v>
      </c>
      <c r="B347" t="s">
        <v>333</v>
      </c>
      <c r="C347" t="s">
        <v>528</v>
      </c>
      <c r="D347" t="s">
        <v>4111</v>
      </c>
      <c r="E347" t="s">
        <v>2223</v>
      </c>
      <c r="F347" s="1" t="str">
        <f>HYPERLINK("http://ovidsp.ovid.com/ovidweb.cgi?T=JS&amp;NEWS=n&amp;CSC=Y&amp;PAGE=booktext&amp;D=books&amp;AN=01382848$&amp;XPATH=/PG(0)&amp;EPUB=Y","http://ovidsp.ovid.com/ovidweb.cgi?T=JS&amp;NEWS=n&amp;CSC=Y&amp;PAGE=booktext&amp;D=books&amp;AN=01382848$&amp;XPATH=/PG(0)&amp;EPUB=Y")</f>
        <v>http://ovidsp.ovid.com/ovidweb.cgi?T=JS&amp;NEWS=n&amp;CSC=Y&amp;PAGE=booktext&amp;D=books&amp;AN=01382848$&amp;XPATH=/PG(0)&amp;EPUB=Y</v>
      </c>
      <c r="G347" t="s">
        <v>2139</v>
      </c>
      <c r="H347" t="s">
        <v>2974</v>
      </c>
      <c r="I347">
        <v>1206726</v>
      </c>
      <c r="J347" t="s">
        <v>3263</v>
      </c>
      <c r="K347" t="s">
        <v>4410</v>
      </c>
    </row>
    <row r="348" spans="1:11" x14ac:dyDescent="0.3">
      <c r="A348" t="s">
        <v>1654</v>
      </c>
      <c r="B348" t="s">
        <v>2154</v>
      </c>
      <c r="C348" t="s">
        <v>1962</v>
      </c>
      <c r="D348" t="s">
        <v>4111</v>
      </c>
      <c r="E348" t="s">
        <v>2223</v>
      </c>
      <c r="F348" s="1" t="str">
        <f>HYPERLINK("http://ovidsp.ovid.com/ovidweb.cgi?T=JS&amp;NEWS=n&amp;CSC=Y&amp;PAGE=booktext&amp;D=books&amp;AN=01337294$&amp;XPATH=/PG(0)&amp;EPUB=Y","http://ovidsp.ovid.com/ovidweb.cgi?T=JS&amp;NEWS=n&amp;CSC=Y&amp;PAGE=booktext&amp;D=books&amp;AN=01337294$&amp;XPATH=/PG(0)&amp;EPUB=Y")</f>
        <v>http://ovidsp.ovid.com/ovidweb.cgi?T=JS&amp;NEWS=n&amp;CSC=Y&amp;PAGE=booktext&amp;D=books&amp;AN=01337294$&amp;XPATH=/PG(0)&amp;EPUB=Y</v>
      </c>
      <c r="G348" t="s">
        <v>2139</v>
      </c>
      <c r="H348" t="s">
        <v>2974</v>
      </c>
      <c r="I348">
        <v>1206726</v>
      </c>
      <c r="J348" t="s">
        <v>3263</v>
      </c>
      <c r="K348" t="s">
        <v>568</v>
      </c>
    </row>
    <row r="349" spans="1:11" x14ac:dyDescent="0.3">
      <c r="A349" t="s">
        <v>791</v>
      </c>
      <c r="B349" t="s">
        <v>3099</v>
      </c>
      <c r="C349" t="s">
        <v>2414</v>
      </c>
      <c r="D349" t="s">
        <v>4111</v>
      </c>
      <c r="E349" t="s">
        <v>2223</v>
      </c>
      <c r="F349" s="1" t="str">
        <f>HYPERLINK("http://ovidsp.ovid.com/ovidweb.cgi?T=JS&amp;NEWS=n&amp;CSC=Y&amp;PAGE=booktext&amp;D=books&amp;AN=01382807$&amp;XPATH=/PG(0)&amp;EPUB=Y","http://ovidsp.ovid.com/ovidweb.cgi?T=JS&amp;NEWS=n&amp;CSC=Y&amp;PAGE=booktext&amp;D=books&amp;AN=01382807$&amp;XPATH=/PG(0)&amp;EPUB=Y")</f>
        <v>http://ovidsp.ovid.com/ovidweb.cgi?T=JS&amp;NEWS=n&amp;CSC=Y&amp;PAGE=booktext&amp;D=books&amp;AN=01382807$&amp;XPATH=/PG(0)&amp;EPUB=Y</v>
      </c>
      <c r="G349" t="s">
        <v>2139</v>
      </c>
      <c r="H349" t="s">
        <v>2974</v>
      </c>
      <c r="I349">
        <v>1206726</v>
      </c>
      <c r="J349" t="s">
        <v>3263</v>
      </c>
      <c r="K349" t="s">
        <v>3392</v>
      </c>
    </row>
    <row r="350" spans="1:11" x14ac:dyDescent="0.3">
      <c r="A350" t="s">
        <v>3552</v>
      </c>
      <c r="B350" t="s">
        <v>3702</v>
      </c>
      <c r="C350" t="s">
        <v>393</v>
      </c>
      <c r="D350" t="s">
        <v>4111</v>
      </c>
      <c r="E350" t="s">
        <v>1104</v>
      </c>
      <c r="F350" s="1" t="str">
        <f>HYPERLINK("http://ovidsp.ovid.com/ovidweb.cgi?T=JS&amp;NEWS=n&amp;CSC=Y&amp;PAGE=booktext&amp;D=books&amp;AN=01382532$&amp;XPATH=/PG(0)&amp;EPUB=Y","http://ovidsp.ovid.com/ovidweb.cgi?T=JS&amp;NEWS=n&amp;CSC=Y&amp;PAGE=booktext&amp;D=books&amp;AN=01382532$&amp;XPATH=/PG(0)&amp;EPUB=Y")</f>
        <v>http://ovidsp.ovid.com/ovidweb.cgi?T=JS&amp;NEWS=n&amp;CSC=Y&amp;PAGE=booktext&amp;D=books&amp;AN=01382532$&amp;XPATH=/PG(0)&amp;EPUB=Y</v>
      </c>
      <c r="G350" t="s">
        <v>2139</v>
      </c>
      <c r="H350" t="s">
        <v>2974</v>
      </c>
      <c r="I350">
        <v>1206726</v>
      </c>
      <c r="J350" t="s">
        <v>3263</v>
      </c>
      <c r="K350" t="s">
        <v>4730</v>
      </c>
    </row>
    <row r="351" spans="1:11" x14ac:dyDescent="0.3">
      <c r="A351" t="s">
        <v>1508</v>
      </c>
      <c r="B351" t="s">
        <v>3290</v>
      </c>
      <c r="C351" t="s">
        <v>4305</v>
      </c>
      <c r="D351" t="s">
        <v>4111</v>
      </c>
      <c r="E351" t="s">
        <v>3051</v>
      </c>
      <c r="F351" s="1" t="str">
        <f>HYPERLINK("http://ovidsp.ovid.com/ovidweb.cgi?T=JS&amp;NEWS=n&amp;CSC=Y&amp;PAGE=booktext&amp;D=books&amp;AN=01382755$&amp;XPATH=/PG(0)&amp;EPUB=Y","http://ovidsp.ovid.com/ovidweb.cgi?T=JS&amp;NEWS=n&amp;CSC=Y&amp;PAGE=booktext&amp;D=books&amp;AN=01382755$&amp;XPATH=/PG(0)&amp;EPUB=Y")</f>
        <v>http://ovidsp.ovid.com/ovidweb.cgi?T=JS&amp;NEWS=n&amp;CSC=Y&amp;PAGE=booktext&amp;D=books&amp;AN=01382755$&amp;XPATH=/PG(0)&amp;EPUB=Y</v>
      </c>
      <c r="G351" t="s">
        <v>2139</v>
      </c>
      <c r="H351" t="s">
        <v>2974</v>
      </c>
      <c r="I351">
        <v>1206726</v>
      </c>
      <c r="J351" t="s">
        <v>3263</v>
      </c>
      <c r="K351" t="s">
        <v>414</v>
      </c>
    </row>
    <row r="352" spans="1:11" x14ac:dyDescent="0.3">
      <c r="A352" t="s">
        <v>772</v>
      </c>
      <c r="B352" t="s">
        <v>511</v>
      </c>
      <c r="C352" t="s">
        <v>1263</v>
      </c>
      <c r="D352" t="s">
        <v>4111</v>
      </c>
      <c r="E352" t="s">
        <v>3051</v>
      </c>
      <c r="F352" s="1" t="str">
        <f>HYPERLINK("http://ovidsp.ovid.com/ovidweb.cgi?T=JS&amp;NEWS=n&amp;CSC=Y&amp;PAGE=booktext&amp;D=books&amp;AN=01257007$&amp;XPATH=/PG(0)&amp;EPUB=Y","http://ovidsp.ovid.com/ovidweb.cgi?T=JS&amp;NEWS=n&amp;CSC=Y&amp;PAGE=booktext&amp;D=books&amp;AN=01257007$&amp;XPATH=/PG(0)&amp;EPUB=Y")</f>
        <v>http://ovidsp.ovid.com/ovidweb.cgi?T=JS&amp;NEWS=n&amp;CSC=Y&amp;PAGE=booktext&amp;D=books&amp;AN=01257007$&amp;XPATH=/PG(0)&amp;EPUB=Y</v>
      </c>
      <c r="G352" t="s">
        <v>2139</v>
      </c>
      <c r="H352" t="s">
        <v>2974</v>
      </c>
      <c r="I352">
        <v>1206726</v>
      </c>
      <c r="J352" t="s">
        <v>3263</v>
      </c>
      <c r="K352" t="s">
        <v>1457</v>
      </c>
    </row>
    <row r="353" spans="1:11" x14ac:dyDescent="0.3">
      <c r="A353" t="s">
        <v>3885</v>
      </c>
      <c r="B353" t="s">
        <v>852</v>
      </c>
      <c r="C353" t="s">
        <v>4058</v>
      </c>
      <c r="D353" t="s">
        <v>4111</v>
      </c>
      <c r="E353" t="s">
        <v>1104</v>
      </c>
      <c r="F353" s="1" t="str">
        <f>HYPERLINK("http://ovidsp.ovid.com/ovidweb.cgi?T=JS&amp;NEWS=n&amp;CSC=Y&amp;PAGE=booktext&amp;D=books&amp;AN=01382537$&amp;XPATH=/PG(0)&amp;EPUB=Y","http://ovidsp.ovid.com/ovidweb.cgi?T=JS&amp;NEWS=n&amp;CSC=Y&amp;PAGE=booktext&amp;D=books&amp;AN=01382537$&amp;XPATH=/PG(0)&amp;EPUB=Y")</f>
        <v>http://ovidsp.ovid.com/ovidweb.cgi?T=JS&amp;NEWS=n&amp;CSC=Y&amp;PAGE=booktext&amp;D=books&amp;AN=01382537$&amp;XPATH=/PG(0)&amp;EPUB=Y</v>
      </c>
      <c r="G353" t="s">
        <v>2139</v>
      </c>
      <c r="H353" t="s">
        <v>2974</v>
      </c>
      <c r="I353">
        <v>1206726</v>
      </c>
      <c r="J353" t="s">
        <v>3263</v>
      </c>
      <c r="K353" t="s">
        <v>348</v>
      </c>
    </row>
    <row r="354" spans="1:11" x14ac:dyDescent="0.3">
      <c r="A354" t="s">
        <v>700</v>
      </c>
      <c r="B354" t="s">
        <v>1194</v>
      </c>
      <c r="C354" t="s">
        <v>3844</v>
      </c>
      <c r="D354" t="s">
        <v>4111</v>
      </c>
      <c r="E354" t="s">
        <v>404</v>
      </c>
      <c r="F354" s="1" t="str">
        <f>HYPERLINK("http://ovidsp.ovid.com/ovidweb.cgi?T=JS&amp;NEWS=n&amp;CSC=Y&amp;PAGE=booktext&amp;D=books&amp;AN=01276484$&amp;XPATH=/PG(0)&amp;EPUB=Y","http://ovidsp.ovid.com/ovidweb.cgi?T=JS&amp;NEWS=n&amp;CSC=Y&amp;PAGE=booktext&amp;D=books&amp;AN=01276484$&amp;XPATH=/PG(0)&amp;EPUB=Y")</f>
        <v>http://ovidsp.ovid.com/ovidweb.cgi?T=JS&amp;NEWS=n&amp;CSC=Y&amp;PAGE=booktext&amp;D=books&amp;AN=01276484$&amp;XPATH=/PG(0)&amp;EPUB=Y</v>
      </c>
      <c r="G354" t="s">
        <v>2139</v>
      </c>
      <c r="H354" t="s">
        <v>2974</v>
      </c>
      <c r="I354">
        <v>1206726</v>
      </c>
      <c r="J354" t="s">
        <v>3263</v>
      </c>
      <c r="K354" t="s">
        <v>2259</v>
      </c>
    </row>
    <row r="355" spans="1:11" x14ac:dyDescent="0.3">
      <c r="A355" t="s">
        <v>1177</v>
      </c>
      <c r="B355" t="s">
        <v>4642</v>
      </c>
      <c r="C355" t="s">
        <v>3975</v>
      </c>
      <c r="D355" t="s">
        <v>4111</v>
      </c>
      <c r="E355" t="s">
        <v>2223</v>
      </c>
      <c r="F355" s="1" t="str">
        <f>HYPERLINK("http://ovidsp.ovid.com/ovidweb.cgi?T=JS&amp;NEWS=n&amp;CSC=Y&amp;PAGE=booktext&amp;D=books&amp;AN=01382803$&amp;XPATH=/PG(0)&amp;EPUB=Y","http://ovidsp.ovid.com/ovidweb.cgi?T=JS&amp;NEWS=n&amp;CSC=Y&amp;PAGE=booktext&amp;D=books&amp;AN=01382803$&amp;XPATH=/PG(0)&amp;EPUB=Y")</f>
        <v>http://ovidsp.ovid.com/ovidweb.cgi?T=JS&amp;NEWS=n&amp;CSC=Y&amp;PAGE=booktext&amp;D=books&amp;AN=01382803$&amp;XPATH=/PG(0)&amp;EPUB=Y</v>
      </c>
      <c r="G355" t="s">
        <v>2139</v>
      </c>
      <c r="H355" t="s">
        <v>2974</v>
      </c>
      <c r="I355">
        <v>1206726</v>
      </c>
      <c r="J355" t="s">
        <v>3263</v>
      </c>
      <c r="K355" t="s">
        <v>2128</v>
      </c>
    </row>
    <row r="356" spans="1:11" x14ac:dyDescent="0.3">
      <c r="A356" t="s">
        <v>1899</v>
      </c>
      <c r="B356" t="s">
        <v>1055</v>
      </c>
      <c r="C356" t="s">
        <v>3463</v>
      </c>
      <c r="D356" t="s">
        <v>4111</v>
      </c>
      <c r="E356" t="s">
        <v>2223</v>
      </c>
      <c r="F356" s="1" t="str">
        <f>HYPERLINK("http://ovidsp.ovid.com/ovidweb.cgi?T=JS&amp;NEWS=n&amp;CSC=Y&amp;PAGE=booktext&amp;D=books&amp;AN=01437514$&amp;XPATH=/PG(0)&amp;EPUB=Y","http://ovidsp.ovid.com/ovidweb.cgi?T=JS&amp;NEWS=n&amp;CSC=Y&amp;PAGE=booktext&amp;D=books&amp;AN=01437514$&amp;XPATH=/PG(0)&amp;EPUB=Y")</f>
        <v>http://ovidsp.ovid.com/ovidweb.cgi?T=JS&amp;NEWS=n&amp;CSC=Y&amp;PAGE=booktext&amp;D=books&amp;AN=01437514$&amp;XPATH=/PG(0)&amp;EPUB=Y</v>
      </c>
      <c r="G356" t="s">
        <v>2139</v>
      </c>
      <c r="H356" t="s">
        <v>2974</v>
      </c>
      <c r="I356">
        <v>1206726</v>
      </c>
      <c r="J356" t="s">
        <v>3263</v>
      </c>
      <c r="K356" t="s">
        <v>3423</v>
      </c>
    </row>
    <row r="357" spans="1:11" x14ac:dyDescent="0.3">
      <c r="A357" t="s">
        <v>1831</v>
      </c>
      <c r="B357" t="s">
        <v>3676</v>
      </c>
      <c r="C357" t="s">
        <v>536</v>
      </c>
      <c r="D357" t="s">
        <v>4111</v>
      </c>
      <c r="E357" t="s">
        <v>2223</v>
      </c>
      <c r="F357" s="1" t="str">
        <f>HYPERLINK("http://ovidsp.ovid.com/ovidweb.cgi?T=JS&amp;NEWS=n&amp;CSC=Y&amp;PAGE=booktext&amp;D=books&amp;AN=01439403$&amp;XPATH=/PG(0)&amp;EPUB=Y","http://ovidsp.ovid.com/ovidweb.cgi?T=JS&amp;NEWS=n&amp;CSC=Y&amp;PAGE=booktext&amp;D=books&amp;AN=01439403$&amp;XPATH=/PG(0)&amp;EPUB=Y")</f>
        <v>http://ovidsp.ovid.com/ovidweb.cgi?T=JS&amp;NEWS=n&amp;CSC=Y&amp;PAGE=booktext&amp;D=books&amp;AN=01439403$&amp;XPATH=/PG(0)&amp;EPUB=Y</v>
      </c>
      <c r="G357" t="s">
        <v>2139</v>
      </c>
      <c r="H357" t="s">
        <v>2974</v>
      </c>
      <c r="I357">
        <v>1206726</v>
      </c>
      <c r="J357" t="s">
        <v>3263</v>
      </c>
      <c r="K357" t="s">
        <v>1536</v>
      </c>
    </row>
    <row r="358" spans="1:11" x14ac:dyDescent="0.3">
      <c r="A358" t="s">
        <v>766</v>
      </c>
      <c r="B358" t="s">
        <v>594</v>
      </c>
      <c r="C358" t="s">
        <v>4634</v>
      </c>
      <c r="D358" t="s">
        <v>4111</v>
      </c>
      <c r="E358" t="s">
        <v>2223</v>
      </c>
      <c r="F358" s="1" t="str">
        <f>HYPERLINK("http://ovidsp.ovid.com/ovidweb.cgi?T=JS&amp;NEWS=n&amp;CSC=Y&amp;PAGE=booktext&amp;D=books&amp;AN=01439404$&amp;XPATH=/PG(0)&amp;EPUB=Y","http://ovidsp.ovid.com/ovidweb.cgi?T=JS&amp;NEWS=n&amp;CSC=Y&amp;PAGE=booktext&amp;D=books&amp;AN=01439404$&amp;XPATH=/PG(0)&amp;EPUB=Y")</f>
        <v>http://ovidsp.ovid.com/ovidweb.cgi?T=JS&amp;NEWS=n&amp;CSC=Y&amp;PAGE=booktext&amp;D=books&amp;AN=01439404$&amp;XPATH=/PG(0)&amp;EPUB=Y</v>
      </c>
      <c r="G358" t="s">
        <v>2139</v>
      </c>
      <c r="H358" t="s">
        <v>2974</v>
      </c>
      <c r="I358">
        <v>1206726</v>
      </c>
      <c r="J358" t="s">
        <v>3263</v>
      </c>
      <c r="K358" t="s">
        <v>523</v>
      </c>
    </row>
    <row r="359" spans="1:11" x14ac:dyDescent="0.3">
      <c r="A359" t="s">
        <v>1841</v>
      </c>
      <c r="B359" t="s">
        <v>1693</v>
      </c>
      <c r="C359" t="s">
        <v>3416</v>
      </c>
      <c r="D359" t="s">
        <v>4111</v>
      </c>
      <c r="E359" t="s">
        <v>2223</v>
      </c>
      <c r="F359" s="1" t="str">
        <f>HYPERLINK("http://ovidsp.ovid.com/ovidweb.cgi?T=JS&amp;NEWS=n&amp;CSC=Y&amp;PAGE=booktext&amp;D=books&amp;AN=01382538$&amp;XPATH=/PG(0)&amp;EPUB=Y","http://ovidsp.ovid.com/ovidweb.cgi?T=JS&amp;NEWS=n&amp;CSC=Y&amp;PAGE=booktext&amp;D=books&amp;AN=01382538$&amp;XPATH=/PG(0)&amp;EPUB=Y")</f>
        <v>http://ovidsp.ovid.com/ovidweb.cgi?T=JS&amp;NEWS=n&amp;CSC=Y&amp;PAGE=booktext&amp;D=books&amp;AN=01382538$&amp;XPATH=/PG(0)&amp;EPUB=Y</v>
      </c>
      <c r="G359" t="s">
        <v>2139</v>
      </c>
      <c r="H359" t="s">
        <v>2974</v>
      </c>
      <c r="I359">
        <v>1206726</v>
      </c>
      <c r="J359" t="s">
        <v>3263</v>
      </c>
      <c r="K359" t="s">
        <v>1748</v>
      </c>
    </row>
    <row r="360" spans="1:11" x14ac:dyDescent="0.3">
      <c r="A360" t="s">
        <v>3121</v>
      </c>
      <c r="B360" t="s">
        <v>3216</v>
      </c>
      <c r="C360" t="s">
        <v>768</v>
      </c>
      <c r="D360" t="s">
        <v>4111</v>
      </c>
      <c r="E360" t="s">
        <v>2223</v>
      </c>
      <c r="F360" s="1" t="str">
        <f>HYPERLINK("http://ovidsp.ovid.com/ovidweb.cgi?T=JS&amp;NEWS=n&amp;CSC=Y&amp;PAGE=booktext&amp;D=books&amp;AN=01437515$&amp;XPATH=/PG(0)&amp;EPUB=Y","http://ovidsp.ovid.com/ovidweb.cgi?T=JS&amp;NEWS=n&amp;CSC=Y&amp;PAGE=booktext&amp;D=books&amp;AN=01437515$&amp;XPATH=/PG(0)&amp;EPUB=Y")</f>
        <v>http://ovidsp.ovid.com/ovidweb.cgi?T=JS&amp;NEWS=n&amp;CSC=Y&amp;PAGE=booktext&amp;D=books&amp;AN=01437515$&amp;XPATH=/PG(0)&amp;EPUB=Y</v>
      </c>
      <c r="G360" t="s">
        <v>2139</v>
      </c>
      <c r="H360" t="s">
        <v>2974</v>
      </c>
      <c r="I360">
        <v>1206726</v>
      </c>
      <c r="J360" t="s">
        <v>3263</v>
      </c>
      <c r="K360" t="s">
        <v>1953</v>
      </c>
    </row>
    <row r="361" spans="1:11" x14ac:dyDescent="0.3">
      <c r="A361" t="s">
        <v>3783</v>
      </c>
      <c r="B361" t="s">
        <v>1625</v>
      </c>
      <c r="C361" t="s">
        <v>4298</v>
      </c>
      <c r="D361" t="s">
        <v>4111</v>
      </c>
      <c r="E361" t="s">
        <v>2223</v>
      </c>
      <c r="F361" s="1" t="str">
        <f>HYPERLINK("http://ovidsp.ovid.com/ovidweb.cgi?T=JS&amp;NEWS=n&amp;CSC=Y&amp;PAGE=booktext&amp;D=books&amp;AN=01412559$&amp;XPATH=/PG(0)&amp;EPUB=Y","http://ovidsp.ovid.com/ovidweb.cgi?T=JS&amp;NEWS=n&amp;CSC=Y&amp;PAGE=booktext&amp;D=books&amp;AN=01412559$&amp;XPATH=/PG(0)&amp;EPUB=Y")</f>
        <v>http://ovidsp.ovid.com/ovidweb.cgi?T=JS&amp;NEWS=n&amp;CSC=Y&amp;PAGE=booktext&amp;D=books&amp;AN=01412559$&amp;XPATH=/PG(0)&amp;EPUB=Y</v>
      </c>
      <c r="G361" t="s">
        <v>2139</v>
      </c>
      <c r="H361" t="s">
        <v>2974</v>
      </c>
      <c r="I361">
        <v>1206726</v>
      </c>
      <c r="J361" t="s">
        <v>3263</v>
      </c>
      <c r="K361" t="s">
        <v>1802</v>
      </c>
    </row>
    <row r="362" spans="1:11" x14ac:dyDescent="0.3">
      <c r="A362" t="s">
        <v>4482</v>
      </c>
      <c r="B362" t="s">
        <v>4225</v>
      </c>
      <c r="C362" t="s">
        <v>1199</v>
      </c>
      <c r="D362" t="s">
        <v>4111</v>
      </c>
      <c r="E362" t="s">
        <v>2223</v>
      </c>
      <c r="F362" s="1" t="str">
        <f>HYPERLINK("http://ovidsp.ovid.com/ovidweb.cgi?T=JS&amp;NEWS=n&amp;CSC=Y&amp;PAGE=booktext&amp;D=books&amp;AN=01412520$&amp;XPATH=/PG(0)&amp;EPUB=Y","http://ovidsp.ovid.com/ovidweb.cgi?T=JS&amp;NEWS=n&amp;CSC=Y&amp;PAGE=booktext&amp;D=books&amp;AN=01412520$&amp;XPATH=/PG(0)&amp;EPUB=Y")</f>
        <v>http://ovidsp.ovid.com/ovidweb.cgi?T=JS&amp;NEWS=n&amp;CSC=Y&amp;PAGE=booktext&amp;D=books&amp;AN=01412520$&amp;XPATH=/PG(0)&amp;EPUB=Y</v>
      </c>
      <c r="G362" t="s">
        <v>2139</v>
      </c>
      <c r="H362" t="s">
        <v>2974</v>
      </c>
      <c r="I362">
        <v>1206726</v>
      </c>
      <c r="J362" t="s">
        <v>3263</v>
      </c>
      <c r="K362" t="s">
        <v>4460</v>
      </c>
    </row>
    <row r="363" spans="1:11" x14ac:dyDescent="0.3">
      <c r="A363" t="s">
        <v>2862</v>
      </c>
      <c r="B363" t="s">
        <v>457</v>
      </c>
      <c r="C363" t="s">
        <v>3354</v>
      </c>
      <c r="D363" t="s">
        <v>4111</v>
      </c>
      <c r="E363" t="s">
        <v>2223</v>
      </c>
      <c r="F363" s="1" t="str">
        <f>HYPERLINK("http://ovidsp.ovid.com/ovidweb.cgi?T=JS&amp;NEWS=n&amp;CSC=Y&amp;PAGE=booktext&amp;D=books&amp;AN=00139916$&amp;XPATH=/PG(0)&amp;EPUB=Y","http://ovidsp.ovid.com/ovidweb.cgi?T=JS&amp;NEWS=n&amp;CSC=Y&amp;PAGE=booktext&amp;D=books&amp;AN=00139916$&amp;XPATH=/PG(0)&amp;EPUB=Y")</f>
        <v>http://ovidsp.ovid.com/ovidweb.cgi?T=JS&amp;NEWS=n&amp;CSC=Y&amp;PAGE=booktext&amp;D=books&amp;AN=00139916$&amp;XPATH=/PG(0)&amp;EPUB=Y</v>
      </c>
      <c r="G363" t="s">
        <v>2139</v>
      </c>
      <c r="H363" t="s">
        <v>2974</v>
      </c>
      <c r="I363">
        <v>1206726</v>
      </c>
      <c r="J363" t="s">
        <v>3263</v>
      </c>
      <c r="K363" t="s">
        <v>1495</v>
      </c>
    </row>
    <row r="364" spans="1:11" x14ac:dyDescent="0.3">
      <c r="A364" t="s">
        <v>4539</v>
      </c>
      <c r="B364" t="s">
        <v>1314</v>
      </c>
      <c r="C364" t="s">
        <v>3444</v>
      </c>
      <c r="D364" t="s">
        <v>4111</v>
      </c>
      <c r="E364" t="s">
        <v>2223</v>
      </c>
      <c r="F364" s="1" t="str">
        <f>HYPERLINK("http://ovidsp.ovid.com/ovidweb.cgi?T=JS&amp;NEWS=n&amp;CSC=Y&amp;PAGE=booktext&amp;D=books&amp;AN=01257008$&amp;XPATH=/PG(0)&amp;EPUB=Y","http://ovidsp.ovid.com/ovidweb.cgi?T=JS&amp;NEWS=n&amp;CSC=Y&amp;PAGE=booktext&amp;D=books&amp;AN=01257008$&amp;XPATH=/PG(0)&amp;EPUB=Y")</f>
        <v>http://ovidsp.ovid.com/ovidweb.cgi?T=JS&amp;NEWS=n&amp;CSC=Y&amp;PAGE=booktext&amp;D=books&amp;AN=01257008$&amp;XPATH=/PG(0)&amp;EPUB=Y</v>
      </c>
      <c r="G364" t="s">
        <v>2139</v>
      </c>
      <c r="H364" t="s">
        <v>2974</v>
      </c>
      <c r="I364">
        <v>1206726</v>
      </c>
      <c r="J364" t="s">
        <v>3263</v>
      </c>
      <c r="K364" t="s">
        <v>1787</v>
      </c>
    </row>
    <row r="365" spans="1:11" x14ac:dyDescent="0.3">
      <c r="A365" t="s">
        <v>2957</v>
      </c>
      <c r="B365" t="s">
        <v>652</v>
      </c>
      <c r="C365" t="s">
        <v>752</v>
      </c>
      <c r="D365" t="s">
        <v>4111</v>
      </c>
      <c r="E365" t="s">
        <v>2223</v>
      </c>
      <c r="F365" s="1" t="str">
        <f>HYPERLINK("http://ovidsp.ovid.com/ovidweb.cgi?T=JS&amp;NEWS=n&amp;CSC=Y&amp;PAGE=booktext&amp;D=books&amp;AN=01436979$&amp;XPATH=/PG(0)&amp;EPUB=Y","http://ovidsp.ovid.com/ovidweb.cgi?T=JS&amp;NEWS=n&amp;CSC=Y&amp;PAGE=booktext&amp;D=books&amp;AN=01436979$&amp;XPATH=/PG(0)&amp;EPUB=Y")</f>
        <v>http://ovidsp.ovid.com/ovidweb.cgi?T=JS&amp;NEWS=n&amp;CSC=Y&amp;PAGE=booktext&amp;D=books&amp;AN=01436979$&amp;XPATH=/PG(0)&amp;EPUB=Y</v>
      </c>
      <c r="G365" t="s">
        <v>2139</v>
      </c>
      <c r="H365" t="s">
        <v>2974</v>
      </c>
      <c r="I365">
        <v>1206726</v>
      </c>
      <c r="J365" t="s">
        <v>3263</v>
      </c>
      <c r="K365" t="s">
        <v>3940</v>
      </c>
    </row>
    <row r="366" spans="1:11" x14ac:dyDescent="0.3">
      <c r="A366" t="s">
        <v>626</v>
      </c>
      <c r="B366" t="s">
        <v>2914</v>
      </c>
      <c r="C366" t="s">
        <v>3763</v>
      </c>
      <c r="D366" t="s">
        <v>4111</v>
      </c>
      <c r="E366" t="s">
        <v>2876</v>
      </c>
      <c r="F366" s="1" t="str">
        <f>HYPERLINK("http://ovidsp.ovid.com/ovidweb.cgi?T=JS&amp;NEWS=n&amp;CSC=Y&amp;PAGE=booktext&amp;D=books&amp;AN=01382539$&amp;XPATH=/PG(0)&amp;EPUB=Y","http://ovidsp.ovid.com/ovidweb.cgi?T=JS&amp;NEWS=n&amp;CSC=Y&amp;PAGE=booktext&amp;D=books&amp;AN=01382539$&amp;XPATH=/PG(0)&amp;EPUB=Y")</f>
        <v>http://ovidsp.ovid.com/ovidweb.cgi?T=JS&amp;NEWS=n&amp;CSC=Y&amp;PAGE=booktext&amp;D=books&amp;AN=01382539$&amp;XPATH=/PG(0)&amp;EPUB=Y</v>
      </c>
      <c r="G366" t="s">
        <v>2139</v>
      </c>
      <c r="H366" t="s">
        <v>2974</v>
      </c>
      <c r="I366">
        <v>1206726</v>
      </c>
      <c r="J366" t="s">
        <v>3263</v>
      </c>
      <c r="K366" t="s">
        <v>3671</v>
      </c>
    </row>
    <row r="367" spans="1:11" x14ac:dyDescent="0.3">
      <c r="A367" t="s">
        <v>2918</v>
      </c>
      <c r="B367" t="s">
        <v>3293</v>
      </c>
      <c r="C367" t="s">
        <v>1184</v>
      </c>
      <c r="D367" t="s">
        <v>4111</v>
      </c>
      <c r="E367" t="s">
        <v>1104</v>
      </c>
      <c r="F367" s="1" t="str">
        <f>HYPERLINK("http://ovidsp.ovid.com/ovidweb.cgi?T=JS&amp;NEWS=n&amp;CSC=Y&amp;PAGE=booktext&amp;D=books&amp;AN=01337532$&amp;XPATH=/PG(0)&amp;EPUB=Y","http://ovidsp.ovid.com/ovidweb.cgi?T=JS&amp;NEWS=n&amp;CSC=Y&amp;PAGE=booktext&amp;D=books&amp;AN=01337532$&amp;XPATH=/PG(0)&amp;EPUB=Y")</f>
        <v>http://ovidsp.ovid.com/ovidweb.cgi?T=JS&amp;NEWS=n&amp;CSC=Y&amp;PAGE=booktext&amp;D=books&amp;AN=01337532$&amp;XPATH=/PG(0)&amp;EPUB=Y</v>
      </c>
      <c r="G367" t="s">
        <v>2139</v>
      </c>
      <c r="H367" t="s">
        <v>2974</v>
      </c>
      <c r="I367">
        <v>1206726</v>
      </c>
      <c r="J367" t="s">
        <v>3263</v>
      </c>
      <c r="K367" t="s">
        <v>270</v>
      </c>
    </row>
    <row r="368" spans="1:11" x14ac:dyDescent="0.3">
      <c r="A368" t="s">
        <v>2816</v>
      </c>
      <c r="B368" t="s">
        <v>783</v>
      </c>
      <c r="C368" t="s">
        <v>1125</v>
      </c>
      <c r="D368" t="s">
        <v>4111</v>
      </c>
      <c r="E368" t="s">
        <v>1104</v>
      </c>
      <c r="F368" s="1" t="str">
        <f>HYPERLINK("http://ovidsp.ovid.com/ovidweb.cgi?T=JS&amp;NEWS=n&amp;CSC=Y&amp;PAGE=booktext&amp;D=books&amp;AN=01382541$&amp;XPATH=/PG(0)&amp;EPUB=Y","http://ovidsp.ovid.com/ovidweb.cgi?T=JS&amp;NEWS=n&amp;CSC=Y&amp;PAGE=booktext&amp;D=books&amp;AN=01382541$&amp;XPATH=/PG(0)&amp;EPUB=Y")</f>
        <v>http://ovidsp.ovid.com/ovidweb.cgi?T=JS&amp;NEWS=n&amp;CSC=Y&amp;PAGE=booktext&amp;D=books&amp;AN=01382541$&amp;XPATH=/PG(0)&amp;EPUB=Y</v>
      </c>
      <c r="G368" t="s">
        <v>2139</v>
      </c>
      <c r="H368" t="s">
        <v>2974</v>
      </c>
      <c r="I368">
        <v>1206726</v>
      </c>
      <c r="J368" t="s">
        <v>3263</v>
      </c>
      <c r="K368" t="s">
        <v>3492</v>
      </c>
    </row>
    <row r="369" spans="1:11" x14ac:dyDescent="0.3">
      <c r="A369" t="s">
        <v>3620</v>
      </c>
      <c r="B369" t="s">
        <v>3190</v>
      </c>
      <c r="C369" t="s">
        <v>4060</v>
      </c>
      <c r="D369" t="s">
        <v>4111</v>
      </c>
      <c r="E369" t="s">
        <v>1104</v>
      </c>
      <c r="F369" s="1" t="str">
        <f>HYPERLINK("http://ovidsp.ovid.com/ovidweb.cgi?T=JS&amp;NEWS=n&amp;CSC=Y&amp;PAGE=booktext&amp;D=books&amp;AN=01626598$&amp;XPATH=/PG(0)&amp;EPUB=Y","http://ovidsp.ovid.com/ovidweb.cgi?T=JS&amp;NEWS=n&amp;CSC=Y&amp;PAGE=booktext&amp;D=books&amp;AN=01626598$&amp;XPATH=/PG(0)&amp;EPUB=Y")</f>
        <v>http://ovidsp.ovid.com/ovidweb.cgi?T=JS&amp;NEWS=n&amp;CSC=Y&amp;PAGE=booktext&amp;D=books&amp;AN=01626598$&amp;XPATH=/PG(0)&amp;EPUB=Y</v>
      </c>
      <c r="G369" t="s">
        <v>2139</v>
      </c>
      <c r="H369" t="s">
        <v>2974</v>
      </c>
      <c r="I369">
        <v>1206726</v>
      </c>
      <c r="J369" t="s">
        <v>3263</v>
      </c>
      <c r="K369" t="s">
        <v>4064</v>
      </c>
    </row>
    <row r="370" spans="1:11" x14ac:dyDescent="0.3">
      <c r="A370" t="s">
        <v>4009</v>
      </c>
      <c r="B370" t="s">
        <v>4663</v>
      </c>
      <c r="C370" t="s">
        <v>4096</v>
      </c>
      <c r="D370" t="s">
        <v>4111</v>
      </c>
      <c r="E370" t="s">
        <v>2223</v>
      </c>
      <c r="F370" s="1" t="str">
        <f>HYPERLINK("http://ovidsp.ovid.com/ovidweb.cgi?T=JS&amp;NEWS=n&amp;CSC=Y&amp;PAGE=booktext&amp;D=books&amp;AN=01279740$&amp;XPATH=/PG(0)&amp;EPUB=Y","http://ovidsp.ovid.com/ovidweb.cgi?T=JS&amp;NEWS=n&amp;CSC=Y&amp;PAGE=booktext&amp;D=books&amp;AN=01279740$&amp;XPATH=/PG(0)&amp;EPUB=Y")</f>
        <v>http://ovidsp.ovid.com/ovidweb.cgi?T=JS&amp;NEWS=n&amp;CSC=Y&amp;PAGE=booktext&amp;D=books&amp;AN=01279740$&amp;XPATH=/PG(0)&amp;EPUB=Y</v>
      </c>
      <c r="G370" t="s">
        <v>2139</v>
      </c>
      <c r="H370" t="s">
        <v>2974</v>
      </c>
      <c r="I370">
        <v>1206726</v>
      </c>
      <c r="J370" t="s">
        <v>3263</v>
      </c>
      <c r="K370" t="s">
        <v>1195</v>
      </c>
    </row>
    <row r="371" spans="1:11" x14ac:dyDescent="0.3">
      <c r="A371" t="s">
        <v>492</v>
      </c>
      <c r="B371" t="s">
        <v>263</v>
      </c>
      <c r="C371" t="s">
        <v>962</v>
      </c>
      <c r="D371" t="s">
        <v>4111</v>
      </c>
      <c r="E371" t="s">
        <v>404</v>
      </c>
      <c r="F371" s="1" t="str">
        <f>HYPERLINK("http://ovidsp.ovid.com/ovidweb.cgi?T=JS&amp;NEWS=n&amp;CSC=Y&amp;PAGE=booktext&amp;D=books&amp;AN=01439418$&amp;XPATH=/PG(0)&amp;EPUB=Y","http://ovidsp.ovid.com/ovidweb.cgi?T=JS&amp;NEWS=n&amp;CSC=Y&amp;PAGE=booktext&amp;D=books&amp;AN=01439418$&amp;XPATH=/PG(0)&amp;EPUB=Y")</f>
        <v>http://ovidsp.ovid.com/ovidweb.cgi?T=JS&amp;NEWS=n&amp;CSC=Y&amp;PAGE=booktext&amp;D=books&amp;AN=01439418$&amp;XPATH=/PG(0)&amp;EPUB=Y</v>
      </c>
      <c r="G371" t="s">
        <v>2139</v>
      </c>
      <c r="H371" t="s">
        <v>2974</v>
      </c>
      <c r="I371">
        <v>1206726</v>
      </c>
      <c r="J371" t="s">
        <v>3263</v>
      </c>
      <c r="K371" t="s">
        <v>1474</v>
      </c>
    </row>
    <row r="372" spans="1:11" x14ac:dyDescent="0.3">
      <c r="A372" t="s">
        <v>1343</v>
      </c>
      <c r="B372" t="s">
        <v>3415</v>
      </c>
      <c r="C372" t="s">
        <v>3557</v>
      </c>
      <c r="D372" t="s">
        <v>4111</v>
      </c>
      <c r="E372" t="s">
        <v>2223</v>
      </c>
      <c r="F372" s="1" t="str">
        <f>HYPERLINK("http://ovidsp.ovid.com/ovidweb.cgi?T=JS&amp;NEWS=n&amp;CSC=Y&amp;PAGE=booktext&amp;D=books&amp;AN=01257041$&amp;XPATH=/PG(0)&amp;EPUB=Y","http://ovidsp.ovid.com/ovidweb.cgi?T=JS&amp;NEWS=n&amp;CSC=Y&amp;PAGE=booktext&amp;D=books&amp;AN=01257041$&amp;XPATH=/PG(0)&amp;EPUB=Y")</f>
        <v>http://ovidsp.ovid.com/ovidweb.cgi?T=JS&amp;NEWS=n&amp;CSC=Y&amp;PAGE=booktext&amp;D=books&amp;AN=01257041$&amp;XPATH=/PG(0)&amp;EPUB=Y</v>
      </c>
      <c r="G372" t="s">
        <v>2139</v>
      </c>
      <c r="H372" t="s">
        <v>2974</v>
      </c>
      <c r="I372">
        <v>1206726</v>
      </c>
      <c r="J372" t="s">
        <v>3263</v>
      </c>
      <c r="K372" t="s">
        <v>2915</v>
      </c>
    </row>
    <row r="373" spans="1:11" x14ac:dyDescent="0.3">
      <c r="A373" t="s">
        <v>3184</v>
      </c>
      <c r="B373" t="s">
        <v>1777</v>
      </c>
      <c r="C373" t="s">
        <v>4174</v>
      </c>
      <c r="D373" t="s">
        <v>4111</v>
      </c>
      <c r="E373" t="s">
        <v>2223</v>
      </c>
      <c r="F373" s="1" t="str">
        <f>HYPERLINK("http://ovidsp.ovid.com/ovidweb.cgi?T=JS&amp;NEWS=n&amp;CSC=Y&amp;PAGE=booktext&amp;D=books&amp;AN=00139918$&amp;XPATH=/PG(0)&amp;EPUB=Y","http://ovidsp.ovid.com/ovidweb.cgi?T=JS&amp;NEWS=n&amp;CSC=Y&amp;PAGE=booktext&amp;D=books&amp;AN=00139918$&amp;XPATH=/PG(0)&amp;EPUB=Y")</f>
        <v>http://ovidsp.ovid.com/ovidweb.cgi?T=JS&amp;NEWS=n&amp;CSC=Y&amp;PAGE=booktext&amp;D=books&amp;AN=00139918$&amp;XPATH=/PG(0)&amp;EPUB=Y</v>
      </c>
      <c r="G373" t="s">
        <v>2139</v>
      </c>
      <c r="H373" t="s">
        <v>2974</v>
      </c>
      <c r="I373">
        <v>1206726</v>
      </c>
      <c r="J373" t="s">
        <v>3263</v>
      </c>
      <c r="K373" t="s">
        <v>4213</v>
      </c>
    </row>
    <row r="374" spans="1:11" x14ac:dyDescent="0.3">
      <c r="A374" t="s">
        <v>3294</v>
      </c>
      <c r="B374" t="s">
        <v>3317</v>
      </c>
      <c r="C374" t="s">
        <v>2530</v>
      </c>
      <c r="D374" t="s">
        <v>4111</v>
      </c>
      <c r="E374" t="s">
        <v>404</v>
      </c>
      <c r="F374" s="1" t="str">
        <f>HYPERLINK("http://ovidsp.ovid.com/ovidweb.cgi?T=JS&amp;NEWS=n&amp;CSC=Y&amp;PAGE=booktext&amp;D=books&amp;AN=01279702$&amp;XPATH=/PG(0)&amp;EPUB=Y","http://ovidsp.ovid.com/ovidweb.cgi?T=JS&amp;NEWS=n&amp;CSC=Y&amp;PAGE=booktext&amp;D=books&amp;AN=01279702$&amp;XPATH=/PG(0)&amp;EPUB=Y")</f>
        <v>http://ovidsp.ovid.com/ovidweb.cgi?T=JS&amp;NEWS=n&amp;CSC=Y&amp;PAGE=booktext&amp;D=books&amp;AN=01279702$&amp;XPATH=/PG(0)&amp;EPUB=Y</v>
      </c>
      <c r="G374" t="s">
        <v>2139</v>
      </c>
      <c r="H374" t="s">
        <v>2974</v>
      </c>
      <c r="I374">
        <v>1206726</v>
      </c>
      <c r="J374" t="s">
        <v>3263</v>
      </c>
      <c r="K374" t="s">
        <v>3822</v>
      </c>
    </row>
    <row r="375" spans="1:11" x14ac:dyDescent="0.3">
      <c r="A375" t="s">
        <v>3282</v>
      </c>
      <c r="B375" t="s">
        <v>4449</v>
      </c>
      <c r="C375" t="s">
        <v>896</v>
      </c>
      <c r="D375" t="s">
        <v>4111</v>
      </c>
      <c r="E375" t="s">
        <v>2223</v>
      </c>
      <c r="F375" s="1" t="str">
        <f>HYPERLINK("http://ovidsp.ovid.com/ovidweb.cgi?T=JS&amp;NEWS=n&amp;CSC=Y&amp;PAGE=booktext&amp;D=books&amp;AN=01382887$&amp;XPATH=/PG(0)&amp;EPUB=Y","http://ovidsp.ovid.com/ovidweb.cgi?T=JS&amp;NEWS=n&amp;CSC=Y&amp;PAGE=booktext&amp;D=books&amp;AN=01382887$&amp;XPATH=/PG(0)&amp;EPUB=Y")</f>
        <v>http://ovidsp.ovid.com/ovidweb.cgi?T=JS&amp;NEWS=n&amp;CSC=Y&amp;PAGE=booktext&amp;D=books&amp;AN=01382887$&amp;XPATH=/PG(0)&amp;EPUB=Y</v>
      </c>
      <c r="G375" t="s">
        <v>2139</v>
      </c>
      <c r="H375" t="s">
        <v>2974</v>
      </c>
      <c r="I375">
        <v>1206726</v>
      </c>
      <c r="J375" t="s">
        <v>3263</v>
      </c>
      <c r="K375" t="s">
        <v>1480</v>
      </c>
    </row>
    <row r="376" spans="1:11" x14ac:dyDescent="0.3">
      <c r="A376" t="s">
        <v>2468</v>
      </c>
      <c r="B376" t="s">
        <v>3863</v>
      </c>
      <c r="C376" t="s">
        <v>111</v>
      </c>
      <c r="D376" t="s">
        <v>4111</v>
      </c>
      <c r="E376" t="s">
        <v>1595</v>
      </c>
      <c r="F376" s="1" t="str">
        <f>HYPERLINK("http://ovidsp.ovid.com/ovidweb.cgi?T=JS&amp;NEWS=n&amp;CSC=Y&amp;PAGE=booktext&amp;D=books&amp;AN=01429409$&amp;XPATH=/PG(0)&amp;EPUB=Y","http://ovidsp.ovid.com/ovidweb.cgi?T=JS&amp;NEWS=n&amp;CSC=Y&amp;PAGE=booktext&amp;D=books&amp;AN=01429409$&amp;XPATH=/PG(0)&amp;EPUB=Y")</f>
        <v>http://ovidsp.ovid.com/ovidweb.cgi?T=JS&amp;NEWS=n&amp;CSC=Y&amp;PAGE=booktext&amp;D=books&amp;AN=01429409$&amp;XPATH=/PG(0)&amp;EPUB=Y</v>
      </c>
      <c r="G376" t="s">
        <v>2139</v>
      </c>
      <c r="H376" t="s">
        <v>2974</v>
      </c>
      <c r="I376">
        <v>1206726</v>
      </c>
      <c r="J376" t="s">
        <v>3263</v>
      </c>
      <c r="K376" t="s">
        <v>181</v>
      </c>
    </row>
    <row r="377" spans="1:11" x14ac:dyDescent="0.3">
      <c r="A377" t="s">
        <v>2468</v>
      </c>
      <c r="B377" t="s">
        <v>2673</v>
      </c>
      <c r="C377" t="s">
        <v>761</v>
      </c>
      <c r="D377" t="s">
        <v>4111</v>
      </c>
      <c r="E377" t="s">
        <v>3387</v>
      </c>
      <c r="F377" s="1" t="str">
        <f>HYPERLINK("http://ovidsp.ovid.com/ovidweb.cgi?T=JS&amp;NEWS=n&amp;CSC=Y&amp;PAGE=booktext&amp;D=books&amp;AN=01222989$&amp;XPATH=/PG(0)&amp;EPUB=Y","http://ovidsp.ovid.com/ovidweb.cgi?T=JS&amp;NEWS=n&amp;CSC=Y&amp;PAGE=booktext&amp;D=books&amp;AN=01222989$&amp;XPATH=/PG(0)&amp;EPUB=Y")</f>
        <v>http://ovidsp.ovid.com/ovidweb.cgi?T=JS&amp;NEWS=n&amp;CSC=Y&amp;PAGE=booktext&amp;D=books&amp;AN=01222989$&amp;XPATH=/PG(0)&amp;EPUB=Y</v>
      </c>
      <c r="G377" t="s">
        <v>2139</v>
      </c>
      <c r="H377" t="s">
        <v>2974</v>
      </c>
      <c r="I377">
        <v>1206726</v>
      </c>
      <c r="J377" t="s">
        <v>3263</v>
      </c>
      <c r="K377" t="s">
        <v>3667</v>
      </c>
    </row>
    <row r="378" spans="1:11" x14ac:dyDescent="0.3">
      <c r="A378" t="s">
        <v>2498</v>
      </c>
      <c r="B378" t="s">
        <v>795</v>
      </c>
      <c r="C378" t="s">
        <v>753</v>
      </c>
      <c r="D378" t="s">
        <v>4111</v>
      </c>
      <c r="E378" t="s">
        <v>1104</v>
      </c>
      <c r="F378" s="1" t="str">
        <f>HYPERLINK("http://ovidsp.ovid.com/ovidweb.cgi?T=JS&amp;NEWS=n&amp;CSC=Y&amp;PAGE=booktext&amp;D=books&amp;AN=01222990$&amp;XPATH=/PG(0)&amp;EPUB=Y","http://ovidsp.ovid.com/ovidweb.cgi?T=JS&amp;NEWS=n&amp;CSC=Y&amp;PAGE=booktext&amp;D=books&amp;AN=01222990$&amp;XPATH=/PG(0)&amp;EPUB=Y")</f>
        <v>http://ovidsp.ovid.com/ovidweb.cgi?T=JS&amp;NEWS=n&amp;CSC=Y&amp;PAGE=booktext&amp;D=books&amp;AN=01222990$&amp;XPATH=/PG(0)&amp;EPUB=Y</v>
      </c>
      <c r="G378" t="s">
        <v>2139</v>
      </c>
      <c r="H378" t="s">
        <v>2974</v>
      </c>
      <c r="I378">
        <v>1206726</v>
      </c>
      <c r="J378" t="s">
        <v>3263</v>
      </c>
      <c r="K378" t="s">
        <v>644</v>
      </c>
    </row>
    <row r="379" spans="1:11" x14ac:dyDescent="0.3">
      <c r="A379" t="s">
        <v>3688</v>
      </c>
      <c r="B379" t="s">
        <v>1957</v>
      </c>
      <c r="C379" t="s">
        <v>4572</v>
      </c>
      <c r="D379" t="s">
        <v>4111</v>
      </c>
      <c r="E379" t="s">
        <v>2223</v>
      </c>
      <c r="F379" s="1" t="str">
        <f>HYPERLINK("http://ovidsp.ovid.com/ovidweb.cgi?T=JS&amp;NEWS=n&amp;CSC=Y&amp;PAGE=booktext&amp;D=books&amp;AN=01382543$&amp;XPATH=/PG(0)&amp;EPUB=Y","http://ovidsp.ovid.com/ovidweb.cgi?T=JS&amp;NEWS=n&amp;CSC=Y&amp;PAGE=booktext&amp;D=books&amp;AN=01382543$&amp;XPATH=/PG(0)&amp;EPUB=Y")</f>
        <v>http://ovidsp.ovid.com/ovidweb.cgi?T=JS&amp;NEWS=n&amp;CSC=Y&amp;PAGE=booktext&amp;D=books&amp;AN=01382543$&amp;XPATH=/PG(0)&amp;EPUB=Y</v>
      </c>
      <c r="G379" t="s">
        <v>2139</v>
      </c>
      <c r="H379" t="s">
        <v>2974</v>
      </c>
      <c r="I379">
        <v>1206726</v>
      </c>
      <c r="J379" t="s">
        <v>3263</v>
      </c>
      <c r="K379" t="s">
        <v>4022</v>
      </c>
    </row>
    <row r="380" spans="1:11" x14ac:dyDescent="0.3">
      <c r="A380" t="s">
        <v>4339</v>
      </c>
      <c r="B380" t="s">
        <v>3080</v>
      </c>
      <c r="C380" t="s">
        <v>2732</v>
      </c>
      <c r="D380" t="s">
        <v>4111</v>
      </c>
      <c r="E380" t="s">
        <v>404</v>
      </c>
      <c r="F380" s="1" t="str">
        <f>HYPERLINK("http://ovidsp.ovid.com/ovidweb.cgi?T=JS&amp;NEWS=n&amp;CSC=Y&amp;PAGE=booktext&amp;D=books&amp;AN=01279741$&amp;XPATH=/PG(0)&amp;EPUB=Y","http://ovidsp.ovid.com/ovidweb.cgi?T=JS&amp;NEWS=n&amp;CSC=Y&amp;PAGE=booktext&amp;D=books&amp;AN=01279741$&amp;XPATH=/PG(0)&amp;EPUB=Y")</f>
        <v>http://ovidsp.ovid.com/ovidweb.cgi?T=JS&amp;NEWS=n&amp;CSC=Y&amp;PAGE=booktext&amp;D=books&amp;AN=01279741$&amp;XPATH=/PG(0)&amp;EPUB=Y</v>
      </c>
      <c r="G380" t="s">
        <v>2139</v>
      </c>
      <c r="H380" t="s">
        <v>2974</v>
      </c>
      <c r="I380">
        <v>1206726</v>
      </c>
      <c r="J380" t="s">
        <v>3263</v>
      </c>
      <c r="K380" t="s">
        <v>322</v>
      </c>
    </row>
    <row r="381" spans="1:11" x14ac:dyDescent="0.3">
      <c r="A381" t="s">
        <v>1558</v>
      </c>
      <c r="B381" t="s">
        <v>2701</v>
      </c>
      <c r="C381" t="s">
        <v>2173</v>
      </c>
      <c r="D381" t="s">
        <v>4111</v>
      </c>
      <c r="E381" t="s">
        <v>404</v>
      </c>
      <c r="F381" s="1" t="str">
        <f>HYPERLINK("http://ovidsp.ovid.com/ovidweb.cgi?T=JS&amp;NEWS=n&amp;CSC=Y&amp;PAGE=booktext&amp;D=books&amp;AN=01279742$&amp;XPATH=/PG(0)&amp;EPUB=Y","http://ovidsp.ovid.com/ovidweb.cgi?T=JS&amp;NEWS=n&amp;CSC=Y&amp;PAGE=booktext&amp;D=books&amp;AN=01279742$&amp;XPATH=/PG(0)&amp;EPUB=Y")</f>
        <v>http://ovidsp.ovid.com/ovidweb.cgi?T=JS&amp;NEWS=n&amp;CSC=Y&amp;PAGE=booktext&amp;D=books&amp;AN=01279742$&amp;XPATH=/PG(0)&amp;EPUB=Y</v>
      </c>
      <c r="G381" t="s">
        <v>2139</v>
      </c>
      <c r="H381" t="s">
        <v>2974</v>
      </c>
      <c r="I381">
        <v>1206726</v>
      </c>
      <c r="J381" t="s">
        <v>3263</v>
      </c>
      <c r="K381" t="s">
        <v>2925</v>
      </c>
    </row>
    <row r="382" spans="1:11" x14ac:dyDescent="0.3">
      <c r="A382" t="s">
        <v>1004</v>
      </c>
      <c r="B382" t="s">
        <v>3077</v>
      </c>
      <c r="C382" t="s">
        <v>471</v>
      </c>
      <c r="D382" t="s">
        <v>4111</v>
      </c>
      <c r="E382" t="s">
        <v>2223</v>
      </c>
      <c r="F382" s="1" t="str">
        <f>HYPERLINK("http://ovidsp.ovid.com/ovidweb.cgi?T=JS&amp;NEWS=n&amp;CSC=Y&amp;PAGE=booktext&amp;D=books&amp;AN=01382544$&amp;XPATH=/PG(0)&amp;EPUB=Y","http://ovidsp.ovid.com/ovidweb.cgi?T=JS&amp;NEWS=n&amp;CSC=Y&amp;PAGE=booktext&amp;D=books&amp;AN=01382544$&amp;XPATH=/PG(0)&amp;EPUB=Y")</f>
        <v>http://ovidsp.ovid.com/ovidweb.cgi?T=JS&amp;NEWS=n&amp;CSC=Y&amp;PAGE=booktext&amp;D=books&amp;AN=01382544$&amp;XPATH=/PG(0)&amp;EPUB=Y</v>
      </c>
      <c r="G382" t="s">
        <v>2139</v>
      </c>
      <c r="H382" t="s">
        <v>2974</v>
      </c>
      <c r="I382">
        <v>1206726</v>
      </c>
      <c r="J382" t="s">
        <v>3263</v>
      </c>
      <c r="K382" t="s">
        <v>3242</v>
      </c>
    </row>
    <row r="383" spans="1:11" x14ac:dyDescent="0.3">
      <c r="A383" t="s">
        <v>1596</v>
      </c>
      <c r="B383" t="s">
        <v>2429</v>
      </c>
      <c r="C383" t="s">
        <v>1374</v>
      </c>
      <c r="D383" t="s">
        <v>4111</v>
      </c>
      <c r="E383" t="s">
        <v>2223</v>
      </c>
      <c r="F383" s="1" t="str">
        <f>HYPERLINK("http://ovidsp.ovid.com/ovidweb.cgi?T=JS&amp;NEWS=n&amp;CSC=Y&amp;PAGE=booktext&amp;D=books&amp;AN=01382553$&amp;XPATH=/PG(0)&amp;EPUB=Y","http://ovidsp.ovid.com/ovidweb.cgi?T=JS&amp;NEWS=n&amp;CSC=Y&amp;PAGE=booktext&amp;D=books&amp;AN=01382553$&amp;XPATH=/PG(0)&amp;EPUB=Y")</f>
        <v>http://ovidsp.ovid.com/ovidweb.cgi?T=JS&amp;NEWS=n&amp;CSC=Y&amp;PAGE=booktext&amp;D=books&amp;AN=01382553$&amp;XPATH=/PG(0)&amp;EPUB=Y</v>
      </c>
      <c r="G383" t="s">
        <v>2139</v>
      </c>
      <c r="H383" t="s">
        <v>2974</v>
      </c>
      <c r="I383">
        <v>1206726</v>
      </c>
      <c r="J383" t="s">
        <v>3263</v>
      </c>
      <c r="K383" t="s">
        <v>115</v>
      </c>
    </row>
    <row r="384" spans="1:11" x14ac:dyDescent="0.3">
      <c r="A384" t="s">
        <v>1162</v>
      </c>
      <c r="B384" t="s">
        <v>1292</v>
      </c>
      <c r="C384" t="s">
        <v>3297</v>
      </c>
      <c r="D384" t="s">
        <v>4111</v>
      </c>
      <c r="E384" t="s">
        <v>404</v>
      </c>
      <c r="F384" s="1" t="str">
        <f>HYPERLINK("http://ovidsp.ovid.com/ovidweb.cgi?T=JS&amp;NEWS=n&amp;CSC=Y&amp;PAGE=booktext&amp;D=books&amp;AN=01382545$&amp;XPATH=/PG(0)&amp;EPUB=Y","http://ovidsp.ovid.com/ovidweb.cgi?T=JS&amp;NEWS=n&amp;CSC=Y&amp;PAGE=booktext&amp;D=books&amp;AN=01382545$&amp;XPATH=/PG(0)&amp;EPUB=Y")</f>
        <v>http://ovidsp.ovid.com/ovidweb.cgi?T=JS&amp;NEWS=n&amp;CSC=Y&amp;PAGE=booktext&amp;D=books&amp;AN=01382545$&amp;XPATH=/PG(0)&amp;EPUB=Y</v>
      </c>
      <c r="G384" t="s">
        <v>2139</v>
      </c>
      <c r="H384" t="s">
        <v>2974</v>
      </c>
      <c r="I384">
        <v>1206726</v>
      </c>
      <c r="J384" t="s">
        <v>3263</v>
      </c>
      <c r="K384" t="s">
        <v>3299</v>
      </c>
    </row>
    <row r="385" spans="1:11" x14ac:dyDescent="0.3">
      <c r="A385" t="s">
        <v>388</v>
      </c>
      <c r="B385" t="s">
        <v>2129</v>
      </c>
      <c r="C385" t="s">
        <v>506</v>
      </c>
      <c r="D385" t="s">
        <v>4111</v>
      </c>
      <c r="E385" t="s">
        <v>2223</v>
      </c>
      <c r="F385" s="1" t="str">
        <f>HYPERLINK("http://ovidsp.ovid.com/ovidweb.cgi?T=JS&amp;NEWS=n&amp;CSC=Y&amp;PAGE=booktext&amp;D=books&amp;AN=01382546$&amp;XPATH=/PG(0)&amp;EPUB=Y","http://ovidsp.ovid.com/ovidweb.cgi?T=JS&amp;NEWS=n&amp;CSC=Y&amp;PAGE=booktext&amp;D=books&amp;AN=01382546$&amp;XPATH=/PG(0)&amp;EPUB=Y")</f>
        <v>http://ovidsp.ovid.com/ovidweb.cgi?T=JS&amp;NEWS=n&amp;CSC=Y&amp;PAGE=booktext&amp;D=books&amp;AN=01382546$&amp;XPATH=/PG(0)&amp;EPUB=Y</v>
      </c>
      <c r="G385" t="s">
        <v>2139</v>
      </c>
      <c r="H385" t="s">
        <v>2974</v>
      </c>
      <c r="I385">
        <v>1206726</v>
      </c>
      <c r="J385" t="s">
        <v>3263</v>
      </c>
      <c r="K385" t="s">
        <v>1999</v>
      </c>
    </row>
    <row r="386" spans="1:11" x14ac:dyDescent="0.3">
      <c r="A386" t="s">
        <v>891</v>
      </c>
      <c r="B386" t="s">
        <v>291</v>
      </c>
      <c r="C386" t="s">
        <v>4289</v>
      </c>
      <c r="D386" t="s">
        <v>4111</v>
      </c>
      <c r="E386" t="s">
        <v>2223</v>
      </c>
      <c r="F386" s="1" t="str">
        <f>HYPERLINK("http://ovidsp.ovid.com/ovidweb.cgi?T=JS&amp;NEWS=n&amp;CSC=Y&amp;PAGE=booktext&amp;D=books&amp;AN=01382547$&amp;XPATH=/PG(0)&amp;EPUB=Y","http://ovidsp.ovid.com/ovidweb.cgi?T=JS&amp;NEWS=n&amp;CSC=Y&amp;PAGE=booktext&amp;D=books&amp;AN=01382547$&amp;XPATH=/PG(0)&amp;EPUB=Y")</f>
        <v>http://ovidsp.ovid.com/ovidweb.cgi?T=JS&amp;NEWS=n&amp;CSC=Y&amp;PAGE=booktext&amp;D=books&amp;AN=01382547$&amp;XPATH=/PG(0)&amp;EPUB=Y</v>
      </c>
      <c r="G386" t="s">
        <v>2139</v>
      </c>
      <c r="H386" t="s">
        <v>2974</v>
      </c>
      <c r="I386">
        <v>1206726</v>
      </c>
      <c r="J386" t="s">
        <v>3263</v>
      </c>
      <c r="K386" t="s">
        <v>2275</v>
      </c>
    </row>
    <row r="387" spans="1:11" x14ac:dyDescent="0.3">
      <c r="A387" t="s">
        <v>1475</v>
      </c>
      <c r="B387" t="s">
        <v>2631</v>
      </c>
      <c r="C387" t="s">
        <v>3165</v>
      </c>
      <c r="D387" t="s">
        <v>4111</v>
      </c>
      <c r="E387" t="s">
        <v>2223</v>
      </c>
      <c r="F387" s="1" t="str">
        <f>HYPERLINK("http://ovidsp.ovid.com/ovidweb.cgi?T=JS&amp;NEWS=n&amp;CSC=Y&amp;PAGE=booktext&amp;D=books&amp;AN=00139920$&amp;XPATH=/PG(0)&amp;EPUB=Y","http://ovidsp.ovid.com/ovidweb.cgi?T=JS&amp;NEWS=n&amp;CSC=Y&amp;PAGE=booktext&amp;D=books&amp;AN=00139920$&amp;XPATH=/PG(0)&amp;EPUB=Y")</f>
        <v>http://ovidsp.ovid.com/ovidweb.cgi?T=JS&amp;NEWS=n&amp;CSC=Y&amp;PAGE=booktext&amp;D=books&amp;AN=00139920$&amp;XPATH=/PG(0)&amp;EPUB=Y</v>
      </c>
      <c r="G387" t="s">
        <v>2139</v>
      </c>
      <c r="H387" t="s">
        <v>2974</v>
      </c>
      <c r="I387">
        <v>1206726</v>
      </c>
      <c r="J387" t="s">
        <v>3263</v>
      </c>
      <c r="K387" t="s">
        <v>900</v>
      </c>
    </row>
    <row r="388" spans="1:11" x14ac:dyDescent="0.3">
      <c r="A388" t="s">
        <v>4437</v>
      </c>
      <c r="B388" t="s">
        <v>3053</v>
      </c>
      <c r="C388" t="s">
        <v>4678</v>
      </c>
      <c r="D388" t="s">
        <v>4111</v>
      </c>
      <c r="E388" t="s">
        <v>2876</v>
      </c>
      <c r="F388" s="1" t="str">
        <f>HYPERLINK("http://ovidsp.ovid.com/ovidweb.cgi?T=JS&amp;NEWS=n&amp;CSC=Y&amp;PAGE=booktext&amp;D=books&amp;AN=00139921$&amp;XPATH=/PG(0)&amp;EPUB=Y","http://ovidsp.ovid.com/ovidweb.cgi?T=JS&amp;NEWS=n&amp;CSC=Y&amp;PAGE=booktext&amp;D=books&amp;AN=00139921$&amp;XPATH=/PG(0)&amp;EPUB=Y")</f>
        <v>http://ovidsp.ovid.com/ovidweb.cgi?T=JS&amp;NEWS=n&amp;CSC=Y&amp;PAGE=booktext&amp;D=books&amp;AN=00139921$&amp;XPATH=/PG(0)&amp;EPUB=Y</v>
      </c>
      <c r="G388" t="s">
        <v>2139</v>
      </c>
      <c r="H388" t="s">
        <v>2974</v>
      </c>
      <c r="I388">
        <v>1206726</v>
      </c>
      <c r="J388" t="s">
        <v>3263</v>
      </c>
      <c r="K388" t="s">
        <v>3454</v>
      </c>
    </row>
    <row r="389" spans="1:11" x14ac:dyDescent="0.3">
      <c r="A389" t="s">
        <v>4534</v>
      </c>
      <c r="B389" t="s">
        <v>4041</v>
      </c>
      <c r="C389" t="s">
        <v>4503</v>
      </c>
      <c r="D389" t="s">
        <v>4111</v>
      </c>
      <c r="E389" t="s">
        <v>3387</v>
      </c>
      <c r="F389" s="1" t="str">
        <f>HYPERLINK("http://ovidsp.ovid.com/ovidweb.cgi?T=JS&amp;NEWS=n&amp;CSC=Y&amp;PAGE=booktext&amp;D=books&amp;AN=01438876$&amp;XPATH=/PG(0)&amp;EPUB=Y","http://ovidsp.ovid.com/ovidweb.cgi?T=JS&amp;NEWS=n&amp;CSC=Y&amp;PAGE=booktext&amp;D=books&amp;AN=01438876$&amp;XPATH=/PG(0)&amp;EPUB=Y")</f>
        <v>http://ovidsp.ovid.com/ovidweb.cgi?T=JS&amp;NEWS=n&amp;CSC=Y&amp;PAGE=booktext&amp;D=books&amp;AN=01438876$&amp;XPATH=/PG(0)&amp;EPUB=Y</v>
      </c>
      <c r="G389" t="s">
        <v>2139</v>
      </c>
      <c r="H389" t="s">
        <v>2974</v>
      </c>
      <c r="I389">
        <v>1206726</v>
      </c>
      <c r="J389" t="s">
        <v>3263</v>
      </c>
      <c r="K389" t="s">
        <v>3831</v>
      </c>
    </row>
    <row r="390" spans="1:11" x14ac:dyDescent="0.3">
      <c r="A390" t="s">
        <v>4328</v>
      </c>
      <c r="B390" t="s">
        <v>3825</v>
      </c>
      <c r="C390" t="s">
        <v>1203</v>
      </c>
      <c r="D390" t="s">
        <v>4111</v>
      </c>
      <c r="E390" t="s">
        <v>2223</v>
      </c>
      <c r="F390" s="1" t="str">
        <f>HYPERLINK("http://ovidsp.ovid.com/ovidweb.cgi?T=JS&amp;NEWS=n&amp;CSC=Y&amp;PAGE=booktext&amp;D=books&amp;AN=01439407$&amp;XPATH=/PG(0)&amp;EPUB=Y","http://ovidsp.ovid.com/ovidweb.cgi?T=JS&amp;NEWS=n&amp;CSC=Y&amp;PAGE=booktext&amp;D=books&amp;AN=01439407$&amp;XPATH=/PG(0)&amp;EPUB=Y")</f>
        <v>http://ovidsp.ovid.com/ovidweb.cgi?T=JS&amp;NEWS=n&amp;CSC=Y&amp;PAGE=booktext&amp;D=books&amp;AN=01439407$&amp;XPATH=/PG(0)&amp;EPUB=Y</v>
      </c>
      <c r="G390" t="s">
        <v>2139</v>
      </c>
      <c r="H390" t="s">
        <v>2974</v>
      </c>
      <c r="I390">
        <v>1206726</v>
      </c>
      <c r="J390" t="s">
        <v>3263</v>
      </c>
      <c r="K390" t="s">
        <v>4693</v>
      </c>
    </row>
    <row r="391" spans="1:11" x14ac:dyDescent="0.3">
      <c r="A391" t="s">
        <v>2204</v>
      </c>
      <c r="B391" t="s">
        <v>430</v>
      </c>
      <c r="C391" t="s">
        <v>3931</v>
      </c>
      <c r="D391" t="s">
        <v>4111</v>
      </c>
      <c r="E391" t="s">
        <v>2223</v>
      </c>
      <c r="F391" s="1" t="str">
        <f>HYPERLINK("http://ovidsp.ovid.com/ovidweb.cgi?T=JS&amp;NEWS=n&amp;CSC=Y&amp;PAGE=booktext&amp;D=books&amp;AN=01382574$&amp;XPATH=/PG(0)&amp;EPUB=Y","http://ovidsp.ovid.com/ovidweb.cgi?T=JS&amp;NEWS=n&amp;CSC=Y&amp;PAGE=booktext&amp;D=books&amp;AN=01382574$&amp;XPATH=/PG(0)&amp;EPUB=Y")</f>
        <v>http://ovidsp.ovid.com/ovidweb.cgi?T=JS&amp;NEWS=n&amp;CSC=Y&amp;PAGE=booktext&amp;D=books&amp;AN=01382574$&amp;XPATH=/PG(0)&amp;EPUB=Y</v>
      </c>
      <c r="G391" t="s">
        <v>2139</v>
      </c>
      <c r="H391" t="s">
        <v>2974</v>
      </c>
      <c r="I391">
        <v>1206726</v>
      </c>
      <c r="J391" t="s">
        <v>3263</v>
      </c>
      <c r="K391" t="s">
        <v>3823</v>
      </c>
    </row>
    <row r="392" spans="1:11" x14ac:dyDescent="0.3">
      <c r="A392" t="s">
        <v>3302</v>
      </c>
      <c r="B392" t="s">
        <v>1261</v>
      </c>
      <c r="C392" t="s">
        <v>4430</v>
      </c>
      <c r="D392" t="s">
        <v>4111</v>
      </c>
      <c r="E392" t="s">
        <v>3051</v>
      </c>
      <c r="F392" s="1" t="str">
        <f>HYPERLINK("http://ovidsp.ovid.com/ovidweb.cgi?T=JS&amp;NEWS=n&amp;CSC=Y&amp;PAGE=booktext&amp;D=books&amp;AN=00139923$&amp;XPATH=/PG(0)&amp;EPUB=Y","http://ovidsp.ovid.com/ovidweb.cgi?T=JS&amp;NEWS=n&amp;CSC=Y&amp;PAGE=booktext&amp;D=books&amp;AN=00139923$&amp;XPATH=/PG(0)&amp;EPUB=Y")</f>
        <v>http://ovidsp.ovid.com/ovidweb.cgi?T=JS&amp;NEWS=n&amp;CSC=Y&amp;PAGE=booktext&amp;D=books&amp;AN=00139923$&amp;XPATH=/PG(0)&amp;EPUB=Y</v>
      </c>
      <c r="G392" t="s">
        <v>2139</v>
      </c>
      <c r="H392" t="s">
        <v>2974</v>
      </c>
      <c r="I392">
        <v>1206726</v>
      </c>
      <c r="J392" t="s">
        <v>3263</v>
      </c>
      <c r="K392" t="s">
        <v>1735</v>
      </c>
    </row>
    <row r="393" spans="1:11" x14ac:dyDescent="0.3">
      <c r="A393" t="s">
        <v>2853</v>
      </c>
      <c r="B393" t="s">
        <v>1897</v>
      </c>
      <c r="C393" t="s">
        <v>836</v>
      </c>
      <c r="D393" t="s">
        <v>4111</v>
      </c>
      <c r="E393" t="s">
        <v>404</v>
      </c>
      <c r="F393" s="1" t="str">
        <f>HYPERLINK("http://ovidsp.ovid.com/ovidweb.cgi?T=JS&amp;NEWS=n&amp;CSC=Y&amp;PAGE=booktext&amp;D=books&amp;AN=01429603$&amp;XPATH=/PG(0)&amp;EPUB=Y","http://ovidsp.ovid.com/ovidweb.cgi?T=JS&amp;NEWS=n&amp;CSC=Y&amp;PAGE=booktext&amp;D=books&amp;AN=01429603$&amp;XPATH=/PG(0)&amp;EPUB=Y")</f>
        <v>http://ovidsp.ovid.com/ovidweb.cgi?T=JS&amp;NEWS=n&amp;CSC=Y&amp;PAGE=booktext&amp;D=books&amp;AN=01429603$&amp;XPATH=/PG(0)&amp;EPUB=Y</v>
      </c>
      <c r="G393" t="s">
        <v>2139</v>
      </c>
      <c r="H393" t="s">
        <v>2974</v>
      </c>
      <c r="I393">
        <v>1206726</v>
      </c>
      <c r="J393" t="s">
        <v>3263</v>
      </c>
      <c r="K393" t="s">
        <v>549</v>
      </c>
    </row>
    <row r="394" spans="1:11" x14ac:dyDescent="0.3">
      <c r="A394" t="s">
        <v>4671</v>
      </c>
      <c r="B394" t="s">
        <v>1321</v>
      </c>
      <c r="C394" t="s">
        <v>4387</v>
      </c>
      <c r="D394" t="s">
        <v>4111</v>
      </c>
      <c r="E394" t="s">
        <v>2876</v>
      </c>
      <c r="F394" s="1" t="str">
        <f>HYPERLINK("http://ovidsp.ovid.com/ovidweb.cgi?T=JS&amp;NEWS=n&amp;CSC=Y&amp;PAGE=booktext&amp;D=books&amp;AN=01437516$&amp;XPATH=/PG(0)&amp;EPUB=Y","http://ovidsp.ovid.com/ovidweb.cgi?T=JS&amp;NEWS=n&amp;CSC=Y&amp;PAGE=booktext&amp;D=books&amp;AN=01437516$&amp;XPATH=/PG(0)&amp;EPUB=Y")</f>
        <v>http://ovidsp.ovid.com/ovidweb.cgi?T=JS&amp;NEWS=n&amp;CSC=Y&amp;PAGE=booktext&amp;D=books&amp;AN=01437516$&amp;XPATH=/PG(0)&amp;EPUB=Y</v>
      </c>
      <c r="G394" t="s">
        <v>2139</v>
      </c>
      <c r="H394" t="s">
        <v>2974</v>
      </c>
      <c r="I394">
        <v>1206726</v>
      </c>
      <c r="J394" t="s">
        <v>3263</v>
      </c>
      <c r="K394" t="s">
        <v>3026</v>
      </c>
    </row>
    <row r="395" spans="1:11" x14ac:dyDescent="0.3">
      <c r="A395" t="s">
        <v>1607</v>
      </c>
      <c r="B395" t="s">
        <v>3055</v>
      </c>
      <c r="C395" t="s">
        <v>1782</v>
      </c>
      <c r="D395" t="s">
        <v>4111</v>
      </c>
      <c r="E395" t="s">
        <v>2223</v>
      </c>
      <c r="F395" s="1" t="str">
        <f>HYPERLINK("http://ovidsp.ovid.com/ovidweb.cgi?T=JS&amp;NEWS=n&amp;CSC=Y&amp;PAGE=booktext&amp;D=books&amp;AN=01382867$&amp;XPATH=/PG(0)&amp;EPUB=Y","http://ovidsp.ovid.com/ovidweb.cgi?T=JS&amp;NEWS=n&amp;CSC=Y&amp;PAGE=booktext&amp;D=books&amp;AN=01382867$&amp;XPATH=/PG(0)&amp;EPUB=Y")</f>
        <v>http://ovidsp.ovid.com/ovidweb.cgi?T=JS&amp;NEWS=n&amp;CSC=Y&amp;PAGE=booktext&amp;D=books&amp;AN=01382867$&amp;XPATH=/PG(0)&amp;EPUB=Y</v>
      </c>
      <c r="G395" t="s">
        <v>2139</v>
      </c>
      <c r="H395" t="s">
        <v>2974</v>
      </c>
      <c r="I395">
        <v>1206726</v>
      </c>
      <c r="J395" t="s">
        <v>3263</v>
      </c>
      <c r="K395" t="s">
        <v>271</v>
      </c>
    </row>
    <row r="396" spans="1:11" x14ac:dyDescent="0.3">
      <c r="A396" t="s">
        <v>2480</v>
      </c>
      <c r="B396" t="s">
        <v>341</v>
      </c>
      <c r="C396" t="s">
        <v>229</v>
      </c>
      <c r="D396" t="s">
        <v>4111</v>
      </c>
      <c r="E396" t="s">
        <v>2223</v>
      </c>
      <c r="F396" s="1" t="str">
        <f>HYPERLINK("http://ovidsp.ovid.com/ovidweb.cgi?T=JS&amp;NEWS=n&amp;CSC=Y&amp;PAGE=booktext&amp;D=books&amp;AN=01412540$&amp;XPATH=/PG(0)&amp;EPUB=Y","http://ovidsp.ovid.com/ovidweb.cgi?T=JS&amp;NEWS=n&amp;CSC=Y&amp;PAGE=booktext&amp;D=books&amp;AN=01412540$&amp;XPATH=/PG(0)&amp;EPUB=Y")</f>
        <v>http://ovidsp.ovid.com/ovidweb.cgi?T=JS&amp;NEWS=n&amp;CSC=Y&amp;PAGE=booktext&amp;D=books&amp;AN=01412540$&amp;XPATH=/PG(0)&amp;EPUB=Y</v>
      </c>
      <c r="G396" t="s">
        <v>2139</v>
      </c>
      <c r="H396" t="s">
        <v>2974</v>
      </c>
      <c r="I396">
        <v>1206726</v>
      </c>
      <c r="J396" t="s">
        <v>3263</v>
      </c>
      <c r="K396" t="s">
        <v>693</v>
      </c>
    </row>
    <row r="397" spans="1:11" x14ac:dyDescent="0.3">
      <c r="A397" t="s">
        <v>292</v>
      </c>
      <c r="B397" t="s">
        <v>2982</v>
      </c>
      <c r="C397" t="s">
        <v>2051</v>
      </c>
      <c r="D397" t="s">
        <v>4111</v>
      </c>
      <c r="E397" t="s">
        <v>2223</v>
      </c>
      <c r="F397" s="1" t="str">
        <f>HYPERLINK("http://ovidsp.ovid.com/ovidweb.cgi?T=JS&amp;NEWS=n&amp;CSC=Y&amp;PAGE=booktext&amp;D=books&amp;AN=01382548$&amp;XPATH=/PG(0)&amp;EPUB=Y","http://ovidsp.ovid.com/ovidweb.cgi?T=JS&amp;NEWS=n&amp;CSC=Y&amp;PAGE=booktext&amp;D=books&amp;AN=01382548$&amp;XPATH=/PG(0)&amp;EPUB=Y")</f>
        <v>http://ovidsp.ovid.com/ovidweb.cgi?T=JS&amp;NEWS=n&amp;CSC=Y&amp;PAGE=booktext&amp;D=books&amp;AN=01382548$&amp;XPATH=/PG(0)&amp;EPUB=Y</v>
      </c>
      <c r="G397" t="s">
        <v>2139</v>
      </c>
      <c r="H397" t="s">
        <v>2974</v>
      </c>
      <c r="I397">
        <v>1206726</v>
      </c>
      <c r="J397" t="s">
        <v>3263</v>
      </c>
      <c r="K397" t="s">
        <v>4619</v>
      </c>
    </row>
    <row r="398" spans="1:11" x14ac:dyDescent="0.3">
      <c r="A398" t="s">
        <v>385</v>
      </c>
      <c r="B398" t="s">
        <v>632</v>
      </c>
      <c r="C398" t="s">
        <v>143</v>
      </c>
      <c r="D398" t="s">
        <v>4111</v>
      </c>
      <c r="E398" t="s">
        <v>404</v>
      </c>
      <c r="F398" s="1" t="str">
        <f>HYPERLINK("http://ovidsp.ovid.com/ovidweb.cgi?T=JS&amp;NEWS=n&amp;CSC=Y&amp;PAGE=booktext&amp;D=books&amp;AN=01256966$&amp;XPATH=/PG(0)&amp;EPUB=Y","http://ovidsp.ovid.com/ovidweb.cgi?T=JS&amp;NEWS=n&amp;CSC=Y&amp;PAGE=booktext&amp;D=books&amp;AN=01256966$&amp;XPATH=/PG(0)&amp;EPUB=Y")</f>
        <v>http://ovidsp.ovid.com/ovidweb.cgi?T=JS&amp;NEWS=n&amp;CSC=Y&amp;PAGE=booktext&amp;D=books&amp;AN=01256966$&amp;XPATH=/PG(0)&amp;EPUB=Y</v>
      </c>
      <c r="G398" t="s">
        <v>2139</v>
      </c>
      <c r="H398" t="s">
        <v>2974</v>
      </c>
      <c r="I398">
        <v>1206726</v>
      </c>
      <c r="J398" t="s">
        <v>3263</v>
      </c>
      <c r="K398" t="s">
        <v>845</v>
      </c>
    </row>
    <row r="399" spans="1:11" x14ac:dyDescent="0.3">
      <c r="A399" t="s">
        <v>3630</v>
      </c>
      <c r="B399" t="s">
        <v>2448</v>
      </c>
      <c r="C399" t="s">
        <v>3060</v>
      </c>
      <c r="D399" t="s">
        <v>4111</v>
      </c>
      <c r="E399" t="s">
        <v>1104</v>
      </c>
      <c r="F399" s="1" t="str">
        <f>HYPERLINK("http://ovidsp.ovid.com/ovidweb.cgi?T=JS&amp;NEWS=n&amp;CSC=Y&amp;PAGE=booktext&amp;D=books&amp;AN=01437886$&amp;XPATH=/PG(0)&amp;EPUB=Y","http://ovidsp.ovid.com/ovidweb.cgi?T=JS&amp;NEWS=n&amp;CSC=Y&amp;PAGE=booktext&amp;D=books&amp;AN=01437886$&amp;XPATH=/PG(0)&amp;EPUB=Y")</f>
        <v>http://ovidsp.ovid.com/ovidweb.cgi?T=JS&amp;NEWS=n&amp;CSC=Y&amp;PAGE=booktext&amp;D=books&amp;AN=01437886$&amp;XPATH=/PG(0)&amp;EPUB=Y</v>
      </c>
      <c r="G399" t="s">
        <v>2139</v>
      </c>
      <c r="H399" t="s">
        <v>2974</v>
      </c>
      <c r="I399">
        <v>1206726</v>
      </c>
      <c r="J399" t="s">
        <v>3263</v>
      </c>
      <c r="K399" t="s">
        <v>657</v>
      </c>
    </row>
    <row r="400" spans="1:11" x14ac:dyDescent="0.3">
      <c r="A400" t="s">
        <v>4456</v>
      </c>
      <c r="B400" t="s">
        <v>907</v>
      </c>
      <c r="C400" t="s">
        <v>2383</v>
      </c>
      <c r="D400" t="s">
        <v>4111</v>
      </c>
      <c r="E400" t="s">
        <v>1104</v>
      </c>
      <c r="F400" s="1" t="str">
        <f>HYPERLINK("http://ovidsp.ovid.com/ovidweb.cgi?T=JS&amp;NEWS=n&amp;CSC=Y&amp;PAGE=booktext&amp;D=books&amp;AN=01382550$&amp;XPATH=/PG(0)&amp;EPUB=Y","http://ovidsp.ovid.com/ovidweb.cgi?T=JS&amp;NEWS=n&amp;CSC=Y&amp;PAGE=booktext&amp;D=books&amp;AN=01382550$&amp;XPATH=/PG(0)&amp;EPUB=Y")</f>
        <v>http://ovidsp.ovid.com/ovidweb.cgi?T=JS&amp;NEWS=n&amp;CSC=Y&amp;PAGE=booktext&amp;D=books&amp;AN=01382550$&amp;XPATH=/PG(0)&amp;EPUB=Y</v>
      </c>
      <c r="G400" t="s">
        <v>2139</v>
      </c>
      <c r="H400" t="s">
        <v>2974</v>
      </c>
      <c r="I400">
        <v>1206726</v>
      </c>
      <c r="J400" t="s">
        <v>3263</v>
      </c>
      <c r="K400" t="s">
        <v>1712</v>
      </c>
    </row>
    <row r="401" spans="1:11" x14ac:dyDescent="0.3">
      <c r="A401" t="s">
        <v>4429</v>
      </c>
      <c r="B401" t="s">
        <v>3295</v>
      </c>
      <c r="C401" t="s">
        <v>1243</v>
      </c>
      <c r="D401" t="s">
        <v>4111</v>
      </c>
      <c r="E401" t="s">
        <v>3051</v>
      </c>
      <c r="F401" s="1" t="str">
        <f>HYPERLINK("http://ovidsp.ovid.com/ovidweb.cgi?T=JS&amp;NEWS=n&amp;CSC=Y&amp;PAGE=booktext&amp;D=books&amp;AN=01435756$&amp;XPATH=/PG(0)&amp;EPUB=Y","http://ovidsp.ovid.com/ovidweb.cgi?T=JS&amp;NEWS=n&amp;CSC=Y&amp;PAGE=booktext&amp;D=books&amp;AN=01435756$&amp;XPATH=/PG(0)&amp;EPUB=Y")</f>
        <v>http://ovidsp.ovid.com/ovidweb.cgi?T=JS&amp;NEWS=n&amp;CSC=Y&amp;PAGE=booktext&amp;D=books&amp;AN=01435756$&amp;XPATH=/PG(0)&amp;EPUB=Y</v>
      </c>
      <c r="G401" t="s">
        <v>2139</v>
      </c>
      <c r="H401" t="s">
        <v>2974</v>
      </c>
      <c r="I401">
        <v>1206726</v>
      </c>
      <c r="J401" t="s">
        <v>3263</v>
      </c>
      <c r="K401" t="s">
        <v>2478</v>
      </c>
    </row>
    <row r="402" spans="1:11" x14ac:dyDescent="0.3">
      <c r="A402" t="s">
        <v>1780</v>
      </c>
      <c r="B402" t="s">
        <v>2719</v>
      </c>
      <c r="C402" t="s">
        <v>2704</v>
      </c>
      <c r="D402" t="s">
        <v>4111</v>
      </c>
      <c r="E402" t="s">
        <v>3387</v>
      </c>
      <c r="F402" s="1" t="str">
        <f>HYPERLINK("http://ovidsp.ovid.com/ovidweb.cgi?T=JS&amp;NEWS=n&amp;CSC=Y&amp;PAGE=booktext&amp;D=books&amp;AN=01337289$&amp;XPATH=/PG(0)&amp;EPUB=Y","http://ovidsp.ovid.com/ovidweb.cgi?T=JS&amp;NEWS=n&amp;CSC=Y&amp;PAGE=booktext&amp;D=books&amp;AN=01337289$&amp;XPATH=/PG(0)&amp;EPUB=Y")</f>
        <v>http://ovidsp.ovid.com/ovidweb.cgi?T=JS&amp;NEWS=n&amp;CSC=Y&amp;PAGE=booktext&amp;D=books&amp;AN=01337289$&amp;XPATH=/PG(0)&amp;EPUB=Y</v>
      </c>
      <c r="G402" t="s">
        <v>2139</v>
      </c>
      <c r="H402" t="s">
        <v>2974</v>
      </c>
      <c r="I402">
        <v>1206726</v>
      </c>
      <c r="J402" t="s">
        <v>3263</v>
      </c>
      <c r="K402" t="s">
        <v>23</v>
      </c>
    </row>
    <row r="403" spans="1:11" x14ac:dyDescent="0.3">
      <c r="A403" t="s">
        <v>3533</v>
      </c>
      <c r="B403" t="s">
        <v>580</v>
      </c>
      <c r="C403" t="s">
        <v>1523</v>
      </c>
      <c r="D403" t="s">
        <v>4111</v>
      </c>
      <c r="E403" t="s">
        <v>3051</v>
      </c>
      <c r="F403" s="1" t="str">
        <f>HYPERLINK("http://ovidsp.ovid.com/ovidweb.cgi?T=JS&amp;NEWS=n&amp;CSC=Y&amp;PAGE=booktext&amp;D=books&amp;AN=01337529$&amp;XPATH=/PG(0)&amp;EPUB=Y","http://ovidsp.ovid.com/ovidweb.cgi?T=JS&amp;NEWS=n&amp;CSC=Y&amp;PAGE=booktext&amp;D=books&amp;AN=01337529$&amp;XPATH=/PG(0)&amp;EPUB=Y")</f>
        <v>http://ovidsp.ovid.com/ovidweb.cgi?T=JS&amp;NEWS=n&amp;CSC=Y&amp;PAGE=booktext&amp;D=books&amp;AN=01337529$&amp;XPATH=/PG(0)&amp;EPUB=Y</v>
      </c>
      <c r="G403" t="s">
        <v>2139</v>
      </c>
      <c r="H403" t="s">
        <v>2974</v>
      </c>
      <c r="I403">
        <v>1206726</v>
      </c>
      <c r="J403" t="s">
        <v>3263</v>
      </c>
      <c r="K403" t="s">
        <v>3476</v>
      </c>
    </row>
    <row r="404" spans="1:11" x14ac:dyDescent="0.3">
      <c r="A404" t="s">
        <v>402</v>
      </c>
      <c r="B404" t="s">
        <v>12</v>
      </c>
      <c r="C404" t="s">
        <v>4214</v>
      </c>
      <c r="D404" t="s">
        <v>4111</v>
      </c>
      <c r="E404" t="s">
        <v>1104</v>
      </c>
      <c r="F404" s="1" t="str">
        <f>HYPERLINK("http://ovidsp.ovid.com/ovidweb.cgi?T=JS&amp;NEWS=n&amp;CSC=Y&amp;PAGE=booktext&amp;D=books&amp;AN=01256967$&amp;XPATH=/PG(0)&amp;EPUB=Y","http://ovidsp.ovid.com/ovidweb.cgi?T=JS&amp;NEWS=n&amp;CSC=Y&amp;PAGE=booktext&amp;D=books&amp;AN=01256967$&amp;XPATH=/PG(0)&amp;EPUB=Y")</f>
        <v>http://ovidsp.ovid.com/ovidweb.cgi?T=JS&amp;NEWS=n&amp;CSC=Y&amp;PAGE=booktext&amp;D=books&amp;AN=01256967$&amp;XPATH=/PG(0)&amp;EPUB=Y</v>
      </c>
      <c r="G404" t="s">
        <v>2139</v>
      </c>
      <c r="H404" t="s">
        <v>2974</v>
      </c>
      <c r="I404">
        <v>1206726</v>
      </c>
      <c r="J404" t="s">
        <v>3263</v>
      </c>
      <c r="K404" t="s">
        <v>720</v>
      </c>
    </row>
    <row r="405" spans="1:11" x14ac:dyDescent="0.3">
      <c r="A405" t="s">
        <v>402</v>
      </c>
      <c r="B405" t="s">
        <v>2829</v>
      </c>
      <c r="C405" t="s">
        <v>3610</v>
      </c>
      <c r="D405" t="s">
        <v>4111</v>
      </c>
      <c r="E405" t="s">
        <v>3051</v>
      </c>
      <c r="F405" s="1" t="str">
        <f>HYPERLINK("http://ovidsp.ovid.com/ovidweb.cgi?T=JS&amp;NEWS=n&amp;CSC=Y&amp;PAGE=booktext&amp;D=books&amp;AN=01626601$&amp;XPATH=/PG(0)&amp;EPUB=Y","http://ovidsp.ovid.com/ovidweb.cgi?T=JS&amp;NEWS=n&amp;CSC=Y&amp;PAGE=booktext&amp;D=books&amp;AN=01626601$&amp;XPATH=/PG(0)&amp;EPUB=Y")</f>
        <v>http://ovidsp.ovid.com/ovidweb.cgi?T=JS&amp;NEWS=n&amp;CSC=Y&amp;PAGE=booktext&amp;D=books&amp;AN=01626601$&amp;XPATH=/PG(0)&amp;EPUB=Y</v>
      </c>
      <c r="G405" t="s">
        <v>2139</v>
      </c>
      <c r="H405" t="s">
        <v>2974</v>
      </c>
      <c r="I405">
        <v>1206726</v>
      </c>
      <c r="J405" t="s">
        <v>3263</v>
      </c>
      <c r="K405" t="s">
        <v>754</v>
      </c>
    </row>
    <row r="406" spans="1:11" x14ac:dyDescent="0.3">
      <c r="A406" t="s">
        <v>1717</v>
      </c>
      <c r="B406" t="s">
        <v>4648</v>
      </c>
      <c r="C406" t="s">
        <v>1720</v>
      </c>
      <c r="D406" t="s">
        <v>4111</v>
      </c>
      <c r="E406" t="s">
        <v>1104</v>
      </c>
      <c r="F406" s="1" t="str">
        <f>HYPERLINK("http://ovidsp.ovid.com/ovidweb.cgi?T=JS&amp;NEWS=n&amp;CSC=Y&amp;PAGE=booktext&amp;D=books&amp;AN=01382551$&amp;XPATH=/PG(0)&amp;EPUB=Y","http://ovidsp.ovid.com/ovidweb.cgi?T=JS&amp;NEWS=n&amp;CSC=Y&amp;PAGE=booktext&amp;D=books&amp;AN=01382551$&amp;XPATH=/PG(0)&amp;EPUB=Y")</f>
        <v>http://ovidsp.ovid.com/ovidweb.cgi?T=JS&amp;NEWS=n&amp;CSC=Y&amp;PAGE=booktext&amp;D=books&amp;AN=01382551$&amp;XPATH=/PG(0)&amp;EPUB=Y</v>
      </c>
      <c r="G406" t="s">
        <v>2139</v>
      </c>
      <c r="H406" t="s">
        <v>2974</v>
      </c>
      <c r="I406">
        <v>1206726</v>
      </c>
      <c r="J406" t="s">
        <v>3263</v>
      </c>
      <c r="K406" t="s">
        <v>1569</v>
      </c>
    </row>
    <row r="407" spans="1:11" x14ac:dyDescent="0.3">
      <c r="A407" t="s">
        <v>1576</v>
      </c>
      <c r="B407" t="s">
        <v>3363</v>
      </c>
      <c r="C407" t="s">
        <v>4087</v>
      </c>
      <c r="D407" t="s">
        <v>4111</v>
      </c>
      <c r="E407" t="s">
        <v>2223</v>
      </c>
      <c r="F407" s="1" t="str">
        <f>HYPERLINK("http://ovidsp.ovid.com/ovidweb.cgi?T=JS&amp;NEWS=n&amp;CSC=Y&amp;PAGE=booktext&amp;D=books&amp;AN=01720563$&amp;XPATH=/PG(0)&amp;EPUB=Y","http://ovidsp.ovid.com/ovidweb.cgi?T=JS&amp;NEWS=n&amp;CSC=Y&amp;PAGE=booktext&amp;D=books&amp;AN=01720563$&amp;XPATH=/PG(0)&amp;EPUB=Y")</f>
        <v>http://ovidsp.ovid.com/ovidweb.cgi?T=JS&amp;NEWS=n&amp;CSC=Y&amp;PAGE=booktext&amp;D=books&amp;AN=01720563$&amp;XPATH=/PG(0)&amp;EPUB=Y</v>
      </c>
      <c r="G407" t="s">
        <v>2139</v>
      </c>
      <c r="H407" t="s">
        <v>2974</v>
      </c>
      <c r="I407">
        <v>1206726</v>
      </c>
      <c r="J407" t="s">
        <v>3263</v>
      </c>
      <c r="K407" t="s">
        <v>3563</v>
      </c>
    </row>
    <row r="408" spans="1:11" x14ac:dyDescent="0.3">
      <c r="A408" t="s">
        <v>4320</v>
      </c>
      <c r="B408" t="s">
        <v>4566</v>
      </c>
      <c r="C408" t="s">
        <v>733</v>
      </c>
      <c r="D408" t="s">
        <v>4111</v>
      </c>
      <c r="E408" t="s">
        <v>2223</v>
      </c>
      <c r="F408" s="1" t="str">
        <f>HYPERLINK("http://ovidsp.ovid.com/ovidweb.cgi?T=JS&amp;NEWS=n&amp;CSC=Y&amp;PAGE=booktext&amp;D=books&amp;AN=01382814$&amp;XPATH=/PG(0)&amp;EPUB=Y","http://ovidsp.ovid.com/ovidweb.cgi?T=JS&amp;NEWS=n&amp;CSC=Y&amp;PAGE=booktext&amp;D=books&amp;AN=01382814$&amp;XPATH=/PG(0)&amp;EPUB=Y")</f>
        <v>http://ovidsp.ovid.com/ovidweb.cgi?T=JS&amp;NEWS=n&amp;CSC=Y&amp;PAGE=booktext&amp;D=books&amp;AN=01382814$&amp;XPATH=/PG(0)&amp;EPUB=Y</v>
      </c>
      <c r="G408" t="s">
        <v>2139</v>
      </c>
      <c r="H408" t="s">
        <v>2974</v>
      </c>
      <c r="I408">
        <v>1206726</v>
      </c>
      <c r="J408" t="s">
        <v>3263</v>
      </c>
      <c r="K408" t="s">
        <v>673</v>
      </c>
    </row>
    <row r="409" spans="1:11" x14ac:dyDescent="0.3">
      <c r="A409" t="s">
        <v>3049</v>
      </c>
      <c r="B409" t="s">
        <v>775</v>
      </c>
      <c r="C409" t="s">
        <v>1032</v>
      </c>
      <c r="D409" t="s">
        <v>4111</v>
      </c>
      <c r="E409" t="s">
        <v>2223</v>
      </c>
      <c r="F409" s="1" t="str">
        <f>HYPERLINK("http://ovidsp.ovid.com/ovidweb.cgi?T=JS&amp;NEWS=n&amp;CSC=Y&amp;PAGE=booktext&amp;D=books&amp;AN=01279743$&amp;XPATH=/PG(0)&amp;EPUB=Y","http://ovidsp.ovid.com/ovidweb.cgi?T=JS&amp;NEWS=n&amp;CSC=Y&amp;PAGE=booktext&amp;D=books&amp;AN=01279743$&amp;XPATH=/PG(0)&amp;EPUB=Y")</f>
        <v>http://ovidsp.ovid.com/ovidweb.cgi?T=JS&amp;NEWS=n&amp;CSC=Y&amp;PAGE=booktext&amp;D=books&amp;AN=01279743$&amp;XPATH=/PG(0)&amp;EPUB=Y</v>
      </c>
      <c r="G409" t="s">
        <v>2139</v>
      </c>
      <c r="H409" t="s">
        <v>2974</v>
      </c>
      <c r="I409">
        <v>1206726</v>
      </c>
      <c r="J409" t="s">
        <v>3263</v>
      </c>
      <c r="K409" t="s">
        <v>2073</v>
      </c>
    </row>
    <row r="410" spans="1:11" x14ac:dyDescent="0.3">
      <c r="A410" t="s">
        <v>3455</v>
      </c>
      <c r="B410" t="s">
        <v>1000</v>
      </c>
      <c r="C410" t="s">
        <v>3102</v>
      </c>
      <c r="D410" t="s">
        <v>4111</v>
      </c>
      <c r="E410" t="s">
        <v>3051</v>
      </c>
      <c r="F410" s="1" t="str">
        <f>HYPERLINK("http://ovidsp.ovid.com/ovidweb.cgi?T=JS&amp;NEWS=n&amp;CSC=Y&amp;PAGE=booktext&amp;D=books&amp;AN=01382655$&amp;XPATH=/PG(0)&amp;EPUB=Y","http://ovidsp.ovid.com/ovidweb.cgi?T=JS&amp;NEWS=n&amp;CSC=Y&amp;PAGE=booktext&amp;D=books&amp;AN=01382655$&amp;XPATH=/PG(0)&amp;EPUB=Y")</f>
        <v>http://ovidsp.ovid.com/ovidweb.cgi?T=JS&amp;NEWS=n&amp;CSC=Y&amp;PAGE=booktext&amp;D=books&amp;AN=01382655$&amp;XPATH=/PG(0)&amp;EPUB=Y</v>
      </c>
      <c r="G410" t="s">
        <v>2139</v>
      </c>
      <c r="H410" t="s">
        <v>2974</v>
      </c>
      <c r="I410">
        <v>1206726</v>
      </c>
      <c r="J410" t="s">
        <v>3263</v>
      </c>
      <c r="K410" t="s">
        <v>1339</v>
      </c>
    </row>
    <row r="411" spans="1:11" x14ac:dyDescent="0.3">
      <c r="A411" t="s">
        <v>3029</v>
      </c>
      <c r="B411" t="s">
        <v>428</v>
      </c>
      <c r="C411" t="s">
        <v>442</v>
      </c>
      <c r="D411" t="s">
        <v>4111</v>
      </c>
      <c r="E411" t="s">
        <v>2223</v>
      </c>
      <c r="F411" s="1" t="str">
        <f>HYPERLINK("http://ovidsp.ovid.com/ovidweb.cgi?T=JS&amp;NEWS=n&amp;CSC=Y&amp;PAGE=booktext&amp;D=books&amp;AN=01279703$&amp;XPATH=/PG(0)&amp;EPUB=Y","http://ovidsp.ovid.com/ovidweb.cgi?T=JS&amp;NEWS=n&amp;CSC=Y&amp;PAGE=booktext&amp;D=books&amp;AN=01279703$&amp;XPATH=/PG(0)&amp;EPUB=Y")</f>
        <v>http://ovidsp.ovid.com/ovidweb.cgi?T=JS&amp;NEWS=n&amp;CSC=Y&amp;PAGE=booktext&amp;D=books&amp;AN=01279703$&amp;XPATH=/PG(0)&amp;EPUB=Y</v>
      </c>
      <c r="G411" t="s">
        <v>2139</v>
      </c>
      <c r="H411" t="s">
        <v>2974</v>
      </c>
      <c r="I411">
        <v>1206726</v>
      </c>
      <c r="J411" t="s">
        <v>3263</v>
      </c>
      <c r="K411" t="s">
        <v>2462</v>
      </c>
    </row>
    <row r="412" spans="1:11" x14ac:dyDescent="0.3">
      <c r="A412" t="s">
        <v>3029</v>
      </c>
      <c r="B412" t="s">
        <v>3433</v>
      </c>
      <c r="C412" t="s">
        <v>1578</v>
      </c>
      <c r="D412" t="s">
        <v>4111</v>
      </c>
      <c r="E412" t="s">
        <v>404</v>
      </c>
      <c r="F412" s="1" t="str">
        <f>HYPERLINK("http://ovidsp.ovid.com/ovidweb.cgi?T=JS&amp;NEWS=n&amp;CSC=Y&amp;PAGE=booktext&amp;D=books&amp;AN=01735161$&amp;XPATH=/PG(0)&amp;EPUB=Y","http://ovidsp.ovid.com/ovidweb.cgi?T=JS&amp;NEWS=n&amp;CSC=Y&amp;PAGE=booktext&amp;D=books&amp;AN=01735161$&amp;XPATH=/PG(0)&amp;EPUB=Y")</f>
        <v>http://ovidsp.ovid.com/ovidweb.cgi?T=JS&amp;NEWS=n&amp;CSC=Y&amp;PAGE=booktext&amp;D=books&amp;AN=01735161$&amp;XPATH=/PG(0)&amp;EPUB=Y</v>
      </c>
      <c r="G412" t="s">
        <v>2139</v>
      </c>
      <c r="H412" t="s">
        <v>2974</v>
      </c>
      <c r="I412">
        <v>1206726</v>
      </c>
      <c r="J412" t="s">
        <v>3263</v>
      </c>
      <c r="K412" t="s">
        <v>3693</v>
      </c>
    </row>
    <row r="413" spans="1:11" x14ac:dyDescent="0.3">
      <c r="A413" t="s">
        <v>3362</v>
      </c>
      <c r="B413" t="s">
        <v>3606</v>
      </c>
      <c r="C413" t="s">
        <v>133</v>
      </c>
      <c r="D413" t="s">
        <v>4111</v>
      </c>
      <c r="E413" t="s">
        <v>2223</v>
      </c>
      <c r="F413" s="1" t="str">
        <f>HYPERLINK("http://ovidsp.ovid.com/ovidweb.cgi?T=JS&amp;NEWS=n&amp;CSC=Y&amp;PAGE=booktext&amp;D=books&amp;AN=01412549$&amp;XPATH=/PG(0)&amp;EPUB=Y","http://ovidsp.ovid.com/ovidweb.cgi?T=JS&amp;NEWS=n&amp;CSC=Y&amp;PAGE=booktext&amp;D=books&amp;AN=01412549$&amp;XPATH=/PG(0)&amp;EPUB=Y")</f>
        <v>http://ovidsp.ovid.com/ovidweb.cgi?T=JS&amp;NEWS=n&amp;CSC=Y&amp;PAGE=booktext&amp;D=books&amp;AN=01412549$&amp;XPATH=/PG(0)&amp;EPUB=Y</v>
      </c>
      <c r="G413" t="s">
        <v>2139</v>
      </c>
      <c r="H413" t="s">
        <v>2974</v>
      </c>
      <c r="I413">
        <v>1206726</v>
      </c>
      <c r="J413" t="s">
        <v>3263</v>
      </c>
      <c r="K413" t="s">
        <v>2224</v>
      </c>
    </row>
    <row r="414" spans="1:11" x14ac:dyDescent="0.3">
      <c r="A414" t="s">
        <v>2052</v>
      </c>
      <c r="B414" t="s">
        <v>3151</v>
      </c>
      <c r="C414" t="s">
        <v>1253</v>
      </c>
      <c r="D414" t="s">
        <v>4111</v>
      </c>
      <c r="E414" t="s">
        <v>1104</v>
      </c>
      <c r="F414" s="1" t="str">
        <f>HYPERLINK("http://ovidsp.ovid.com/ovidweb.cgi?T=JS&amp;NEWS=n&amp;CSC=Y&amp;PAGE=booktext&amp;D=books&amp;AN=01317194$&amp;XPATH=/PG(0)&amp;EPUB=Y","http://ovidsp.ovid.com/ovidweb.cgi?T=JS&amp;NEWS=n&amp;CSC=Y&amp;PAGE=booktext&amp;D=books&amp;AN=01317194$&amp;XPATH=/PG(0)&amp;EPUB=Y")</f>
        <v>http://ovidsp.ovid.com/ovidweb.cgi?T=JS&amp;NEWS=n&amp;CSC=Y&amp;PAGE=booktext&amp;D=books&amp;AN=01317194$&amp;XPATH=/PG(0)&amp;EPUB=Y</v>
      </c>
      <c r="G414" t="s">
        <v>2139</v>
      </c>
      <c r="H414" t="s">
        <v>2974</v>
      </c>
      <c r="I414">
        <v>1206726</v>
      </c>
      <c r="J414" t="s">
        <v>3263</v>
      </c>
      <c r="K414" t="s">
        <v>3861</v>
      </c>
    </row>
    <row r="415" spans="1:11" x14ac:dyDescent="0.3">
      <c r="A415" t="s">
        <v>1509</v>
      </c>
      <c r="B415" t="s">
        <v>3520</v>
      </c>
      <c r="C415" t="s">
        <v>3887</v>
      </c>
      <c r="D415" t="s">
        <v>4111</v>
      </c>
      <c r="E415" t="s">
        <v>1595</v>
      </c>
      <c r="F415" s="1" t="str">
        <f>HYPERLINK("http://ovidsp.ovid.com/ovidweb.cgi?T=JS&amp;NEWS=n&amp;CSC=Y&amp;PAGE=booktext&amp;D=books&amp;AN=01412565$&amp;XPATH=/PG(0)&amp;EPUB=Y","http://ovidsp.ovid.com/ovidweb.cgi?T=JS&amp;NEWS=n&amp;CSC=Y&amp;PAGE=booktext&amp;D=books&amp;AN=01412565$&amp;XPATH=/PG(0)&amp;EPUB=Y")</f>
        <v>http://ovidsp.ovid.com/ovidweb.cgi?T=JS&amp;NEWS=n&amp;CSC=Y&amp;PAGE=booktext&amp;D=books&amp;AN=01412565$&amp;XPATH=/PG(0)&amp;EPUB=Y</v>
      </c>
      <c r="G415" t="s">
        <v>2139</v>
      </c>
      <c r="H415" t="s">
        <v>2974</v>
      </c>
      <c r="I415">
        <v>1206726</v>
      </c>
      <c r="J415" t="s">
        <v>3263</v>
      </c>
      <c r="K415" t="s">
        <v>3953</v>
      </c>
    </row>
    <row r="416" spans="1:11" x14ac:dyDescent="0.3">
      <c r="A416" t="s">
        <v>1834</v>
      </c>
      <c r="B416" t="s">
        <v>1080</v>
      </c>
      <c r="C416" t="s">
        <v>3456</v>
      </c>
      <c r="D416" t="s">
        <v>4111</v>
      </c>
      <c r="E416" t="s">
        <v>404</v>
      </c>
      <c r="F416" s="1" t="str">
        <f>HYPERLINK("http://ovidsp.ovid.com/ovidweb.cgi?T=JS&amp;NEWS=n&amp;CSC=Y&amp;PAGE=booktext&amp;D=books&amp;AN=01437520$&amp;XPATH=/PG(0)&amp;EPUB=Y","http://ovidsp.ovid.com/ovidweb.cgi?T=JS&amp;NEWS=n&amp;CSC=Y&amp;PAGE=booktext&amp;D=books&amp;AN=01437520$&amp;XPATH=/PG(0)&amp;EPUB=Y")</f>
        <v>http://ovidsp.ovid.com/ovidweb.cgi?T=JS&amp;NEWS=n&amp;CSC=Y&amp;PAGE=booktext&amp;D=books&amp;AN=01437520$&amp;XPATH=/PG(0)&amp;EPUB=Y</v>
      </c>
      <c r="G416" t="s">
        <v>2139</v>
      </c>
      <c r="H416" t="s">
        <v>2974</v>
      </c>
      <c r="I416">
        <v>1206726</v>
      </c>
      <c r="J416" t="s">
        <v>3263</v>
      </c>
      <c r="K416" t="s">
        <v>1744</v>
      </c>
    </row>
    <row r="417" spans="1:11" x14ac:dyDescent="0.3">
      <c r="A417" t="s">
        <v>1769</v>
      </c>
      <c r="B417" t="s">
        <v>722</v>
      </c>
      <c r="C417" t="s">
        <v>293</v>
      </c>
      <c r="D417" t="s">
        <v>4111</v>
      </c>
      <c r="E417" t="s">
        <v>404</v>
      </c>
      <c r="F417" s="1" t="str">
        <f>HYPERLINK("http://ovidsp.ovid.com/ovidweb.cgi?T=JS&amp;NEWS=n&amp;CSC=Y&amp;PAGE=booktext&amp;D=books&amp;AN=01382555$&amp;XPATH=/PG(0)&amp;EPUB=Y","http://ovidsp.ovid.com/ovidweb.cgi?T=JS&amp;NEWS=n&amp;CSC=Y&amp;PAGE=booktext&amp;D=books&amp;AN=01382555$&amp;XPATH=/PG(0)&amp;EPUB=Y")</f>
        <v>http://ovidsp.ovid.com/ovidweb.cgi?T=JS&amp;NEWS=n&amp;CSC=Y&amp;PAGE=booktext&amp;D=books&amp;AN=01382555$&amp;XPATH=/PG(0)&amp;EPUB=Y</v>
      </c>
      <c r="G417" t="s">
        <v>2139</v>
      </c>
      <c r="H417" t="s">
        <v>2974</v>
      </c>
      <c r="I417">
        <v>1206726</v>
      </c>
      <c r="J417" t="s">
        <v>3263</v>
      </c>
      <c r="K417" t="s">
        <v>3272</v>
      </c>
    </row>
    <row r="418" spans="1:11" x14ac:dyDescent="0.3">
      <c r="A418" t="s">
        <v>3067</v>
      </c>
      <c r="B418" t="s">
        <v>2370</v>
      </c>
      <c r="C418" t="s">
        <v>1325</v>
      </c>
      <c r="D418" t="s">
        <v>4111</v>
      </c>
      <c r="E418" t="s">
        <v>3387</v>
      </c>
      <c r="F418" s="1" t="str">
        <f>HYPERLINK("http://ovidsp.ovid.com/ovidweb.cgi?T=JS&amp;NEWS=n&amp;CSC=Y&amp;PAGE=booktext&amp;D=books&amp;AN=01222992$&amp;XPATH=/PG(0)&amp;EPUB=Y","http://ovidsp.ovid.com/ovidweb.cgi?T=JS&amp;NEWS=n&amp;CSC=Y&amp;PAGE=booktext&amp;D=books&amp;AN=01222992$&amp;XPATH=/PG(0)&amp;EPUB=Y")</f>
        <v>http://ovidsp.ovid.com/ovidweb.cgi?T=JS&amp;NEWS=n&amp;CSC=Y&amp;PAGE=booktext&amp;D=books&amp;AN=01222992$&amp;XPATH=/PG(0)&amp;EPUB=Y</v>
      </c>
      <c r="G418" t="s">
        <v>2139</v>
      </c>
      <c r="H418" t="s">
        <v>2974</v>
      </c>
      <c r="I418">
        <v>1206726</v>
      </c>
      <c r="J418" t="s">
        <v>3263</v>
      </c>
      <c r="K418" t="s">
        <v>2954</v>
      </c>
    </row>
    <row r="419" spans="1:11" x14ac:dyDescent="0.3">
      <c r="A419" t="s">
        <v>3089</v>
      </c>
      <c r="B419" t="s">
        <v>1847</v>
      </c>
      <c r="C419" t="s">
        <v>1772</v>
      </c>
      <c r="D419" t="s">
        <v>4111</v>
      </c>
      <c r="E419" t="s">
        <v>2223</v>
      </c>
      <c r="F419" s="1" t="str">
        <f>HYPERLINK("http://ovidsp.ovid.com/ovidweb.cgi?T=JS&amp;NEWS=n&amp;CSC=Y&amp;PAGE=booktext&amp;D=books&amp;AN=01382557$&amp;XPATH=/PG(0)&amp;EPUB=Y","http://ovidsp.ovid.com/ovidweb.cgi?T=JS&amp;NEWS=n&amp;CSC=Y&amp;PAGE=booktext&amp;D=books&amp;AN=01382557$&amp;XPATH=/PG(0)&amp;EPUB=Y")</f>
        <v>http://ovidsp.ovid.com/ovidweb.cgi?T=JS&amp;NEWS=n&amp;CSC=Y&amp;PAGE=booktext&amp;D=books&amp;AN=01382557$&amp;XPATH=/PG(0)&amp;EPUB=Y</v>
      </c>
      <c r="G419" t="s">
        <v>2139</v>
      </c>
      <c r="H419" t="s">
        <v>2974</v>
      </c>
      <c r="I419">
        <v>1206726</v>
      </c>
      <c r="J419" t="s">
        <v>3263</v>
      </c>
      <c r="K419" t="s">
        <v>1835</v>
      </c>
    </row>
    <row r="420" spans="1:11" x14ac:dyDescent="0.3">
      <c r="A420" t="s">
        <v>79</v>
      </c>
      <c r="B420" t="s">
        <v>819</v>
      </c>
      <c r="C420" t="s">
        <v>3703</v>
      </c>
      <c r="D420" t="s">
        <v>4111</v>
      </c>
      <c r="E420" t="s">
        <v>1595</v>
      </c>
      <c r="F420" s="1" t="str">
        <f>HYPERLINK("http://ovidsp.ovid.com/ovidweb.cgi?T=JS&amp;NEWS=n&amp;CSC=Y&amp;PAGE=booktext&amp;D=books&amp;AN=01434964$&amp;XPATH=/PG(0)&amp;EPUB=Y","http://ovidsp.ovid.com/ovidweb.cgi?T=JS&amp;NEWS=n&amp;CSC=Y&amp;PAGE=booktext&amp;D=books&amp;AN=01434964$&amp;XPATH=/PG(0)&amp;EPUB=Y")</f>
        <v>http://ovidsp.ovid.com/ovidweb.cgi?T=JS&amp;NEWS=n&amp;CSC=Y&amp;PAGE=booktext&amp;D=books&amp;AN=01434964$&amp;XPATH=/PG(0)&amp;EPUB=Y</v>
      </c>
      <c r="G420" t="s">
        <v>2139</v>
      </c>
      <c r="H420" t="s">
        <v>2974</v>
      </c>
      <c r="I420">
        <v>1206726</v>
      </c>
      <c r="J420" t="s">
        <v>3263</v>
      </c>
      <c r="K420" t="s">
        <v>1964</v>
      </c>
    </row>
    <row r="421" spans="1:11" x14ac:dyDescent="0.3">
      <c r="A421" t="s">
        <v>3459</v>
      </c>
      <c r="B421" t="s">
        <v>818</v>
      </c>
      <c r="C421" t="s">
        <v>2243</v>
      </c>
      <c r="D421" t="s">
        <v>4111</v>
      </c>
      <c r="E421" t="s">
        <v>1104</v>
      </c>
      <c r="F421" s="1" t="str">
        <f>HYPERLINK("http://ovidsp.ovid.com/ovidweb.cgi?T=JS&amp;NEWS=n&amp;CSC=Y&amp;PAGE=booktext&amp;D=books&amp;AN=01337291$&amp;XPATH=/PG(0)&amp;EPUB=Y","http://ovidsp.ovid.com/ovidweb.cgi?T=JS&amp;NEWS=n&amp;CSC=Y&amp;PAGE=booktext&amp;D=books&amp;AN=01337291$&amp;XPATH=/PG(0)&amp;EPUB=Y")</f>
        <v>http://ovidsp.ovid.com/ovidweb.cgi?T=JS&amp;NEWS=n&amp;CSC=Y&amp;PAGE=booktext&amp;D=books&amp;AN=01337291$&amp;XPATH=/PG(0)&amp;EPUB=Y</v>
      </c>
      <c r="G421" t="s">
        <v>2139</v>
      </c>
      <c r="H421" t="s">
        <v>2974</v>
      </c>
      <c r="I421">
        <v>1206726</v>
      </c>
      <c r="J421" t="s">
        <v>3263</v>
      </c>
      <c r="K421" t="s">
        <v>1917</v>
      </c>
    </row>
    <row r="422" spans="1:11" x14ac:dyDescent="0.3">
      <c r="A422" t="s">
        <v>2237</v>
      </c>
      <c r="B422" t="s">
        <v>2839</v>
      </c>
      <c r="C422" t="s">
        <v>2746</v>
      </c>
      <c r="D422" t="s">
        <v>4111</v>
      </c>
      <c r="E422" t="s">
        <v>2223</v>
      </c>
      <c r="F422" s="1" t="str">
        <f>HYPERLINK("http://ovidsp.ovid.com/ovidweb.cgi?T=JS&amp;NEWS=n&amp;CSC=Y&amp;PAGE=booktext&amp;D=books&amp;AN=01437521$&amp;XPATH=/PG(0)&amp;EPUB=Y","http://ovidsp.ovid.com/ovidweb.cgi?T=JS&amp;NEWS=n&amp;CSC=Y&amp;PAGE=booktext&amp;D=books&amp;AN=01437521$&amp;XPATH=/PG(0)&amp;EPUB=Y")</f>
        <v>http://ovidsp.ovid.com/ovidweb.cgi?T=JS&amp;NEWS=n&amp;CSC=Y&amp;PAGE=booktext&amp;D=books&amp;AN=01437521$&amp;XPATH=/PG(0)&amp;EPUB=Y</v>
      </c>
      <c r="G422" t="s">
        <v>2139</v>
      </c>
      <c r="H422" t="s">
        <v>2974</v>
      </c>
      <c r="I422">
        <v>1206726</v>
      </c>
      <c r="J422" t="s">
        <v>3263</v>
      </c>
      <c r="K422" t="s">
        <v>835</v>
      </c>
    </row>
    <row r="423" spans="1:11" x14ac:dyDescent="0.3">
      <c r="A423" t="s">
        <v>44</v>
      </c>
      <c r="B423" t="s">
        <v>1501</v>
      </c>
      <c r="C423" t="s">
        <v>4591</v>
      </c>
      <c r="D423" t="s">
        <v>4111</v>
      </c>
      <c r="E423" t="s">
        <v>3387</v>
      </c>
      <c r="F423" s="1" t="str">
        <f>HYPERLINK("http://ovidsp.ovid.com/ovidweb.cgi?T=JS&amp;NEWS=n&amp;CSC=Y&amp;PAGE=booktext&amp;D=books&amp;AN=01222993$&amp;XPATH=/PG(0)&amp;EPUB=Y","http://ovidsp.ovid.com/ovidweb.cgi?T=JS&amp;NEWS=n&amp;CSC=Y&amp;PAGE=booktext&amp;D=books&amp;AN=01222993$&amp;XPATH=/PG(0)&amp;EPUB=Y")</f>
        <v>http://ovidsp.ovid.com/ovidweb.cgi?T=JS&amp;NEWS=n&amp;CSC=Y&amp;PAGE=booktext&amp;D=books&amp;AN=01222993$&amp;XPATH=/PG(0)&amp;EPUB=Y</v>
      </c>
      <c r="G423" t="s">
        <v>2139</v>
      </c>
      <c r="H423" t="s">
        <v>2974</v>
      </c>
      <c r="I423">
        <v>1206726</v>
      </c>
      <c r="J423" t="s">
        <v>3263</v>
      </c>
      <c r="K423" t="s">
        <v>3614</v>
      </c>
    </row>
    <row r="424" spans="1:11" x14ac:dyDescent="0.3">
      <c r="A424" t="s">
        <v>44</v>
      </c>
      <c r="B424" t="s">
        <v>2987</v>
      </c>
      <c r="C424" t="s">
        <v>831</v>
      </c>
      <c r="D424" t="s">
        <v>4111</v>
      </c>
      <c r="E424" t="s">
        <v>1595</v>
      </c>
      <c r="F424" s="1" t="str">
        <f>HYPERLINK("http://ovidsp.ovid.com/ovidweb.cgi?T=JS&amp;NEWS=n&amp;CSC=Y&amp;PAGE=booktext&amp;D=books&amp;AN=01745920$&amp;XPATH=/PG(0)&amp;EPUB=Y","http://ovidsp.ovid.com/ovidweb.cgi?T=JS&amp;NEWS=n&amp;CSC=Y&amp;PAGE=booktext&amp;D=books&amp;AN=01745920$&amp;XPATH=/PG(0)&amp;EPUB=Y")</f>
        <v>http://ovidsp.ovid.com/ovidweb.cgi?T=JS&amp;NEWS=n&amp;CSC=Y&amp;PAGE=booktext&amp;D=books&amp;AN=01745920$&amp;XPATH=/PG(0)&amp;EPUB=Y</v>
      </c>
      <c r="G424" t="s">
        <v>2139</v>
      </c>
      <c r="H424" t="s">
        <v>2974</v>
      </c>
      <c r="I424">
        <v>1206726</v>
      </c>
      <c r="J424" t="s">
        <v>3263</v>
      </c>
      <c r="K424" t="s">
        <v>431</v>
      </c>
    </row>
    <row r="425" spans="1:11" x14ac:dyDescent="0.3">
      <c r="A425" t="s">
        <v>2387</v>
      </c>
      <c r="B425" t="s">
        <v>1792</v>
      </c>
      <c r="C425" t="s">
        <v>4397</v>
      </c>
      <c r="D425" t="s">
        <v>4111</v>
      </c>
      <c r="E425" t="s">
        <v>2876</v>
      </c>
      <c r="F425" s="1" t="str">
        <f>HYPERLINK("http://ovidsp.ovid.com/ovidweb.cgi?T=JS&amp;NEWS=n&amp;CSC=Y&amp;PAGE=booktext&amp;D=books&amp;AN=01762473$&amp;XPATH=/PG(0)&amp;EPUB=Y","http://ovidsp.ovid.com/ovidweb.cgi?T=JS&amp;NEWS=n&amp;CSC=Y&amp;PAGE=booktext&amp;D=books&amp;AN=01762473$&amp;XPATH=/PG(0)&amp;EPUB=Y")</f>
        <v>http://ovidsp.ovid.com/ovidweb.cgi?T=JS&amp;NEWS=n&amp;CSC=Y&amp;PAGE=booktext&amp;D=books&amp;AN=01762473$&amp;XPATH=/PG(0)&amp;EPUB=Y</v>
      </c>
      <c r="G425" t="s">
        <v>2139</v>
      </c>
      <c r="H425" t="s">
        <v>2974</v>
      </c>
      <c r="I425">
        <v>1206726</v>
      </c>
      <c r="J425" t="s">
        <v>3263</v>
      </c>
      <c r="K425" t="s">
        <v>1334</v>
      </c>
    </row>
    <row r="426" spans="1:11" x14ac:dyDescent="0.3">
      <c r="A426" t="s">
        <v>623</v>
      </c>
      <c r="B426" t="s">
        <v>4049</v>
      </c>
      <c r="C426" t="s">
        <v>2017</v>
      </c>
      <c r="D426" t="s">
        <v>4111</v>
      </c>
      <c r="E426" t="s">
        <v>2223</v>
      </c>
      <c r="F426" s="1" t="str">
        <f>HYPERLINK("http://ovidsp.ovid.com/ovidweb.cgi?T=JS&amp;NEWS=n&amp;CSC=Y&amp;PAGE=booktext&amp;D=books&amp;AN=01382433$&amp;XPATH=/PG(0)&amp;EPUB=Y","http://ovidsp.ovid.com/ovidweb.cgi?T=JS&amp;NEWS=n&amp;CSC=Y&amp;PAGE=booktext&amp;D=books&amp;AN=01382433$&amp;XPATH=/PG(0)&amp;EPUB=Y")</f>
        <v>http://ovidsp.ovid.com/ovidweb.cgi?T=JS&amp;NEWS=n&amp;CSC=Y&amp;PAGE=booktext&amp;D=books&amp;AN=01382433$&amp;XPATH=/PG(0)&amp;EPUB=Y</v>
      </c>
      <c r="G426" t="s">
        <v>2139</v>
      </c>
      <c r="H426" t="s">
        <v>2974</v>
      </c>
      <c r="I426">
        <v>1206726</v>
      </c>
      <c r="J426" t="s">
        <v>3263</v>
      </c>
      <c r="K426" t="s">
        <v>75</v>
      </c>
    </row>
    <row r="427" spans="1:11" x14ac:dyDescent="0.3">
      <c r="A427" t="s">
        <v>370</v>
      </c>
      <c r="B427" t="s">
        <v>154</v>
      </c>
      <c r="C427" t="s">
        <v>805</v>
      </c>
      <c r="D427" t="s">
        <v>4111</v>
      </c>
      <c r="E427" t="s">
        <v>2876</v>
      </c>
      <c r="F427" s="1" t="str">
        <f>HYPERLINK("http://ovidsp.ovid.com/ovidweb.cgi?T=JS&amp;NEWS=n&amp;CSC=Y&amp;PAGE=booktext&amp;D=books&amp;AN=01437522$&amp;XPATH=/PG(0)&amp;EPUB=Y","http://ovidsp.ovid.com/ovidweb.cgi?T=JS&amp;NEWS=n&amp;CSC=Y&amp;PAGE=booktext&amp;D=books&amp;AN=01437522$&amp;XPATH=/PG(0)&amp;EPUB=Y")</f>
        <v>http://ovidsp.ovid.com/ovidweb.cgi?T=JS&amp;NEWS=n&amp;CSC=Y&amp;PAGE=booktext&amp;D=books&amp;AN=01437522$&amp;XPATH=/PG(0)&amp;EPUB=Y</v>
      </c>
      <c r="G427" t="s">
        <v>2139</v>
      </c>
      <c r="H427" t="s">
        <v>2974</v>
      </c>
      <c r="I427">
        <v>1206726</v>
      </c>
      <c r="J427" t="s">
        <v>3263</v>
      </c>
      <c r="K427" t="s">
        <v>3517</v>
      </c>
    </row>
    <row r="428" spans="1:11" x14ac:dyDescent="0.3">
      <c r="A428" t="s">
        <v>2764</v>
      </c>
      <c r="B428" t="s">
        <v>3696</v>
      </c>
      <c r="C428" t="s">
        <v>3977</v>
      </c>
      <c r="D428" t="s">
        <v>4111</v>
      </c>
      <c r="E428" t="s">
        <v>3051</v>
      </c>
      <c r="F428" s="1" t="str">
        <f>HYPERLINK("http://ovidsp.ovid.com/ovidweb.cgi?T=JS&amp;NEWS=n&amp;CSC=Y&amp;PAGE=booktext&amp;D=books&amp;AN=00140010$&amp;XPATH=/PG(0)&amp;EPUB=Y","http://ovidsp.ovid.com/ovidweb.cgi?T=JS&amp;NEWS=n&amp;CSC=Y&amp;PAGE=booktext&amp;D=books&amp;AN=00140010$&amp;XPATH=/PG(0)&amp;EPUB=Y")</f>
        <v>http://ovidsp.ovid.com/ovidweb.cgi?T=JS&amp;NEWS=n&amp;CSC=Y&amp;PAGE=booktext&amp;D=books&amp;AN=00140010$&amp;XPATH=/PG(0)&amp;EPUB=Y</v>
      </c>
      <c r="G428" t="s">
        <v>2139</v>
      </c>
      <c r="H428" t="s">
        <v>2974</v>
      </c>
      <c r="I428">
        <v>1206726</v>
      </c>
      <c r="J428" t="s">
        <v>3263</v>
      </c>
      <c r="K428" t="s">
        <v>621</v>
      </c>
    </row>
    <row r="429" spans="1:11" x14ac:dyDescent="0.3">
      <c r="A429" t="s">
        <v>595</v>
      </c>
      <c r="B429" t="s">
        <v>1170</v>
      </c>
      <c r="C429" t="s">
        <v>2809</v>
      </c>
      <c r="D429" t="s">
        <v>4111</v>
      </c>
      <c r="E429" t="s">
        <v>3051</v>
      </c>
      <c r="F429" s="1" t="str">
        <f>HYPERLINK("http://ovidsp.ovid.com/ovidweb.cgi?T=JS&amp;NEWS=n&amp;CSC=Y&amp;PAGE=booktext&amp;D=books&amp;AN=01436870$&amp;XPATH=/PG(0)&amp;EPUB=Y","http://ovidsp.ovid.com/ovidweb.cgi?T=JS&amp;NEWS=n&amp;CSC=Y&amp;PAGE=booktext&amp;D=books&amp;AN=01436870$&amp;XPATH=/PG(0)&amp;EPUB=Y")</f>
        <v>http://ovidsp.ovid.com/ovidweb.cgi?T=JS&amp;NEWS=n&amp;CSC=Y&amp;PAGE=booktext&amp;D=books&amp;AN=01436870$&amp;XPATH=/PG(0)&amp;EPUB=Y</v>
      </c>
      <c r="G429" t="s">
        <v>2139</v>
      </c>
      <c r="H429" t="s">
        <v>2974</v>
      </c>
      <c r="I429">
        <v>1206726</v>
      </c>
      <c r="J429" t="s">
        <v>3263</v>
      </c>
      <c r="K429" t="s">
        <v>645</v>
      </c>
    </row>
    <row r="430" spans="1:11" x14ac:dyDescent="0.3">
      <c r="A430" t="s">
        <v>342</v>
      </c>
      <c r="B430" t="s">
        <v>1295</v>
      </c>
      <c r="C430" t="s">
        <v>4314</v>
      </c>
      <c r="D430" t="s">
        <v>4111</v>
      </c>
      <c r="E430" t="s">
        <v>1595</v>
      </c>
      <c r="F430" s="1" t="str">
        <f>HYPERLINK("http://ovidsp.ovid.com/ovidweb.cgi?T=JS&amp;NEWS=n&amp;CSC=Y&amp;PAGE=booktext&amp;D=books&amp;AN=00139925$&amp;XPATH=/PG(0)&amp;EPUB=Y","http://ovidsp.ovid.com/ovidweb.cgi?T=JS&amp;NEWS=n&amp;CSC=Y&amp;PAGE=booktext&amp;D=books&amp;AN=00139925$&amp;XPATH=/PG(0)&amp;EPUB=Y")</f>
        <v>http://ovidsp.ovid.com/ovidweb.cgi?T=JS&amp;NEWS=n&amp;CSC=Y&amp;PAGE=booktext&amp;D=books&amp;AN=00139925$&amp;XPATH=/PG(0)&amp;EPUB=Y</v>
      </c>
      <c r="G430" t="s">
        <v>2139</v>
      </c>
      <c r="H430" t="s">
        <v>2974</v>
      </c>
      <c r="I430">
        <v>1206726</v>
      </c>
      <c r="J430" t="s">
        <v>3263</v>
      </c>
      <c r="K430" t="s">
        <v>4074</v>
      </c>
    </row>
    <row r="431" spans="1:11" x14ac:dyDescent="0.3">
      <c r="A431" t="s">
        <v>2238</v>
      </c>
      <c r="B431" t="s">
        <v>2948</v>
      </c>
      <c r="C431" t="s">
        <v>2174</v>
      </c>
      <c r="D431" t="s">
        <v>4111</v>
      </c>
      <c r="E431" t="s">
        <v>2223</v>
      </c>
      <c r="F431" s="1" t="str">
        <f>HYPERLINK("http://ovidsp.ovid.com/ovidweb.cgi?T=JS&amp;NEWS=n&amp;CSC=Y&amp;PAGE=booktext&amp;D=books&amp;AN=01279766$&amp;XPATH=/PG(0)&amp;EPUB=Y","http://ovidsp.ovid.com/ovidweb.cgi?T=JS&amp;NEWS=n&amp;CSC=Y&amp;PAGE=booktext&amp;D=books&amp;AN=01279766$&amp;XPATH=/PG(0)&amp;EPUB=Y")</f>
        <v>http://ovidsp.ovid.com/ovidweb.cgi?T=JS&amp;NEWS=n&amp;CSC=Y&amp;PAGE=booktext&amp;D=books&amp;AN=01279766$&amp;XPATH=/PG(0)&amp;EPUB=Y</v>
      </c>
      <c r="G431" t="s">
        <v>2139</v>
      </c>
      <c r="H431" t="s">
        <v>2974</v>
      </c>
      <c r="I431">
        <v>1206726</v>
      </c>
      <c r="J431" t="s">
        <v>3263</v>
      </c>
      <c r="K431" t="s">
        <v>839</v>
      </c>
    </row>
    <row r="432" spans="1:11" x14ac:dyDescent="0.3">
      <c r="A432" t="s">
        <v>3226</v>
      </c>
      <c r="B432" t="s">
        <v>3677</v>
      </c>
      <c r="C432" t="s">
        <v>3483</v>
      </c>
      <c r="D432" t="s">
        <v>4111</v>
      </c>
      <c r="E432" t="s">
        <v>2223</v>
      </c>
      <c r="F432" s="1" t="str">
        <f>HYPERLINK("http://ovidsp.ovid.com/ovidweb.cgi?T=JS&amp;NEWS=n&amp;CSC=Y&amp;PAGE=booktext&amp;D=books&amp;AN=01337530$&amp;XPATH=/PG(0)&amp;EPUB=Y","http://ovidsp.ovid.com/ovidweb.cgi?T=JS&amp;NEWS=n&amp;CSC=Y&amp;PAGE=booktext&amp;D=books&amp;AN=01337530$&amp;XPATH=/PG(0)&amp;EPUB=Y")</f>
        <v>http://ovidsp.ovid.com/ovidweb.cgi?T=JS&amp;NEWS=n&amp;CSC=Y&amp;PAGE=booktext&amp;D=books&amp;AN=01337530$&amp;XPATH=/PG(0)&amp;EPUB=Y</v>
      </c>
      <c r="G432" t="s">
        <v>2139</v>
      </c>
      <c r="H432" t="s">
        <v>2974</v>
      </c>
      <c r="I432">
        <v>1206726</v>
      </c>
      <c r="J432" t="s">
        <v>3263</v>
      </c>
      <c r="K432" t="s">
        <v>2550</v>
      </c>
    </row>
    <row r="433" spans="1:11" x14ac:dyDescent="0.3">
      <c r="A433" t="s">
        <v>870</v>
      </c>
      <c r="B433" t="s">
        <v>1312</v>
      </c>
      <c r="C433" t="s">
        <v>3747</v>
      </c>
      <c r="D433" t="s">
        <v>4111</v>
      </c>
      <c r="E433" t="s">
        <v>2223</v>
      </c>
      <c r="F433" s="1" t="str">
        <f>HYPERLINK("http://ovidsp.ovid.com/ovidweb.cgi?T=JS&amp;NEWS=n&amp;CSC=Y&amp;PAGE=booktext&amp;D=books&amp;AN=01257020$&amp;XPATH=/PG(0)&amp;EPUB=Y","http://ovidsp.ovid.com/ovidweb.cgi?T=JS&amp;NEWS=n&amp;CSC=Y&amp;PAGE=booktext&amp;D=books&amp;AN=01257020$&amp;XPATH=/PG(0)&amp;EPUB=Y")</f>
        <v>http://ovidsp.ovid.com/ovidweb.cgi?T=JS&amp;NEWS=n&amp;CSC=Y&amp;PAGE=booktext&amp;D=books&amp;AN=01257020$&amp;XPATH=/PG(0)&amp;EPUB=Y</v>
      </c>
      <c r="G433" t="s">
        <v>2139</v>
      </c>
      <c r="H433" t="s">
        <v>2974</v>
      </c>
      <c r="I433">
        <v>1206726</v>
      </c>
      <c r="J433" t="s">
        <v>3263</v>
      </c>
      <c r="K433" t="s">
        <v>1219</v>
      </c>
    </row>
    <row r="434" spans="1:11" x14ac:dyDescent="0.3">
      <c r="A434" t="s">
        <v>2371</v>
      </c>
      <c r="B434" t="s">
        <v>3369</v>
      </c>
      <c r="C434" t="s">
        <v>715</v>
      </c>
      <c r="D434" t="s">
        <v>4111</v>
      </c>
      <c r="E434" t="s">
        <v>2223</v>
      </c>
      <c r="F434" s="1" t="str">
        <f>HYPERLINK("http://ovidsp.ovid.com/ovidweb.cgi?T=JS&amp;NEWS=n&amp;CSC=Y&amp;PAGE=booktext&amp;D=books&amp;AN=01382535$&amp;XPATH=/PG(0)&amp;EPUB=Y","http://ovidsp.ovid.com/ovidweb.cgi?T=JS&amp;NEWS=n&amp;CSC=Y&amp;PAGE=booktext&amp;D=books&amp;AN=01382535$&amp;XPATH=/PG(0)&amp;EPUB=Y")</f>
        <v>http://ovidsp.ovid.com/ovidweb.cgi?T=JS&amp;NEWS=n&amp;CSC=Y&amp;PAGE=booktext&amp;D=books&amp;AN=01382535$&amp;XPATH=/PG(0)&amp;EPUB=Y</v>
      </c>
      <c r="G434" t="s">
        <v>2139</v>
      </c>
      <c r="H434" t="s">
        <v>2974</v>
      </c>
      <c r="I434">
        <v>1206726</v>
      </c>
      <c r="J434" t="s">
        <v>3263</v>
      </c>
      <c r="K434" t="s">
        <v>2975</v>
      </c>
    </row>
    <row r="435" spans="1:11" x14ac:dyDescent="0.3">
      <c r="A435" t="s">
        <v>2569</v>
      </c>
      <c r="B435" t="s">
        <v>2221</v>
      </c>
      <c r="C435" t="s">
        <v>2142</v>
      </c>
      <c r="D435" t="s">
        <v>4111</v>
      </c>
      <c r="E435" t="s">
        <v>2223</v>
      </c>
      <c r="F435" s="1" t="str">
        <f>HYPERLINK("http://ovidsp.ovid.com/ovidweb.cgi?T=JS&amp;NEWS=n&amp;CSC=Y&amp;PAGE=booktext&amp;D=books&amp;AN=01222994$&amp;XPATH=/PG(0)&amp;EPUB=Y","http://ovidsp.ovid.com/ovidweb.cgi?T=JS&amp;NEWS=n&amp;CSC=Y&amp;PAGE=booktext&amp;D=books&amp;AN=01222994$&amp;XPATH=/PG(0)&amp;EPUB=Y")</f>
        <v>http://ovidsp.ovid.com/ovidweb.cgi?T=JS&amp;NEWS=n&amp;CSC=Y&amp;PAGE=booktext&amp;D=books&amp;AN=01222994$&amp;XPATH=/PG(0)&amp;EPUB=Y</v>
      </c>
      <c r="G435" t="s">
        <v>2139</v>
      </c>
      <c r="H435" t="s">
        <v>2974</v>
      </c>
      <c r="I435">
        <v>1206726</v>
      </c>
      <c r="J435" t="s">
        <v>3263</v>
      </c>
      <c r="K435" t="s">
        <v>2689</v>
      </c>
    </row>
    <row r="436" spans="1:11" x14ac:dyDescent="0.3">
      <c r="A436" t="s">
        <v>1633</v>
      </c>
      <c r="B436" t="s">
        <v>3828</v>
      </c>
      <c r="C436" t="s">
        <v>1863</v>
      </c>
      <c r="D436" t="s">
        <v>4111</v>
      </c>
      <c r="E436" t="s">
        <v>2223</v>
      </c>
      <c r="F436" s="1" t="str">
        <f>HYPERLINK("http://ovidsp.ovid.com/ovidweb.cgi?T=JS&amp;NEWS=n&amp;CSC=Y&amp;PAGE=booktext&amp;D=books&amp;AN=01436877$&amp;XPATH=/PG(0)&amp;EPUB=Y","http://ovidsp.ovid.com/ovidweb.cgi?T=JS&amp;NEWS=n&amp;CSC=Y&amp;PAGE=booktext&amp;D=books&amp;AN=01436877$&amp;XPATH=/PG(0)&amp;EPUB=Y")</f>
        <v>http://ovidsp.ovid.com/ovidweb.cgi?T=JS&amp;NEWS=n&amp;CSC=Y&amp;PAGE=booktext&amp;D=books&amp;AN=01436877$&amp;XPATH=/PG(0)&amp;EPUB=Y</v>
      </c>
      <c r="G436" t="s">
        <v>2139</v>
      </c>
      <c r="H436" t="s">
        <v>2974</v>
      </c>
      <c r="I436">
        <v>1206726</v>
      </c>
      <c r="J436" t="s">
        <v>3263</v>
      </c>
      <c r="K436" t="s">
        <v>491</v>
      </c>
    </row>
    <row r="437" spans="1:11" x14ac:dyDescent="0.3">
      <c r="A437" t="s">
        <v>1052</v>
      </c>
      <c r="B437" t="s">
        <v>1341</v>
      </c>
      <c r="C437" t="s">
        <v>734</v>
      </c>
      <c r="D437" t="s">
        <v>4111</v>
      </c>
      <c r="E437" t="s">
        <v>2223</v>
      </c>
      <c r="F437" s="1" t="str">
        <f>HYPERLINK("http://ovidsp.ovid.com/ovidweb.cgi?T=JS&amp;NEWS=n&amp;CSC=Y&amp;PAGE=booktext&amp;D=books&amp;AN=01337531$&amp;XPATH=/PG(0)&amp;EPUB=Y","http://ovidsp.ovid.com/ovidweb.cgi?T=JS&amp;NEWS=n&amp;CSC=Y&amp;PAGE=booktext&amp;D=books&amp;AN=01337531$&amp;XPATH=/PG(0)&amp;EPUB=Y")</f>
        <v>http://ovidsp.ovid.com/ovidweb.cgi?T=JS&amp;NEWS=n&amp;CSC=Y&amp;PAGE=booktext&amp;D=books&amp;AN=01337531$&amp;XPATH=/PG(0)&amp;EPUB=Y</v>
      </c>
      <c r="G437" t="s">
        <v>2139</v>
      </c>
      <c r="H437" t="s">
        <v>2974</v>
      </c>
      <c r="I437">
        <v>1206726</v>
      </c>
      <c r="J437" t="s">
        <v>3263</v>
      </c>
      <c r="K437" t="s">
        <v>1731</v>
      </c>
    </row>
    <row r="438" spans="1:11" x14ac:dyDescent="0.3">
      <c r="A438" t="s">
        <v>1721</v>
      </c>
      <c r="B438" t="s">
        <v>1222</v>
      </c>
      <c r="C438" t="s">
        <v>4315</v>
      </c>
      <c r="D438" t="s">
        <v>4111</v>
      </c>
      <c r="E438" t="s">
        <v>2970</v>
      </c>
      <c r="F438" s="1" t="str">
        <f>HYPERLINK("http://ovidsp.ovid.com/ovidweb.cgi?T=JS&amp;NEWS=n&amp;CSC=Y&amp;PAGE=booktext&amp;D=books&amp;AN=01438859$&amp;XPATH=/PG(0)&amp;EPUB=Y","http://ovidsp.ovid.com/ovidweb.cgi?T=JS&amp;NEWS=n&amp;CSC=Y&amp;PAGE=booktext&amp;D=books&amp;AN=01438859$&amp;XPATH=/PG(0)&amp;EPUB=Y")</f>
        <v>http://ovidsp.ovid.com/ovidweb.cgi?T=JS&amp;NEWS=n&amp;CSC=Y&amp;PAGE=booktext&amp;D=books&amp;AN=01438859$&amp;XPATH=/PG(0)&amp;EPUB=Y</v>
      </c>
      <c r="G438" t="s">
        <v>2139</v>
      </c>
      <c r="H438" t="s">
        <v>2974</v>
      </c>
      <c r="I438">
        <v>1206726</v>
      </c>
      <c r="J438" t="s">
        <v>3263</v>
      </c>
      <c r="K438" t="s">
        <v>4607</v>
      </c>
    </row>
    <row r="439" spans="1:11" x14ac:dyDescent="0.3">
      <c r="A439" t="s">
        <v>4340</v>
      </c>
      <c r="B439" t="s">
        <v>4583</v>
      </c>
      <c r="C439" t="s">
        <v>2882</v>
      </c>
      <c r="D439" t="s">
        <v>4111</v>
      </c>
      <c r="E439" t="s">
        <v>3387</v>
      </c>
      <c r="F439" s="1" t="str">
        <f>HYPERLINK("http://ovidsp.ovid.com/ovidweb.cgi?T=JS&amp;NEWS=n&amp;CSC=Y&amp;PAGE=booktext&amp;D=books&amp;AN=01429514$&amp;XPATH=/PG(0)&amp;EPUB=Y","http://ovidsp.ovid.com/ovidweb.cgi?T=JS&amp;NEWS=n&amp;CSC=Y&amp;PAGE=booktext&amp;D=books&amp;AN=01429514$&amp;XPATH=/PG(0)&amp;EPUB=Y")</f>
        <v>http://ovidsp.ovid.com/ovidweb.cgi?T=JS&amp;NEWS=n&amp;CSC=Y&amp;PAGE=booktext&amp;D=books&amp;AN=01429514$&amp;XPATH=/PG(0)&amp;EPUB=Y</v>
      </c>
      <c r="G439" t="s">
        <v>2139</v>
      </c>
      <c r="H439" t="s">
        <v>2974</v>
      </c>
      <c r="I439">
        <v>1206726</v>
      </c>
      <c r="J439" t="s">
        <v>3263</v>
      </c>
      <c r="K439" t="s">
        <v>1673</v>
      </c>
    </row>
    <row r="440" spans="1:11" x14ac:dyDescent="0.3">
      <c r="A440" t="s">
        <v>2893</v>
      </c>
      <c r="B440" t="s">
        <v>639</v>
      </c>
      <c r="C440" t="s">
        <v>1458</v>
      </c>
      <c r="D440" t="s">
        <v>4111</v>
      </c>
      <c r="E440" t="s">
        <v>2223</v>
      </c>
      <c r="F440" s="1" t="str">
        <f>HYPERLINK("http://ovidsp.ovid.com/ovidweb.cgi?T=JS&amp;NEWS=n&amp;CSC=Y&amp;PAGE=booktext&amp;D=books&amp;AN=01279705$&amp;XPATH=/PG(0)&amp;EPUB=Y","http://ovidsp.ovid.com/ovidweb.cgi?T=JS&amp;NEWS=n&amp;CSC=Y&amp;PAGE=booktext&amp;D=books&amp;AN=01279705$&amp;XPATH=/PG(0)&amp;EPUB=Y")</f>
        <v>http://ovidsp.ovid.com/ovidweb.cgi?T=JS&amp;NEWS=n&amp;CSC=Y&amp;PAGE=booktext&amp;D=books&amp;AN=01279705$&amp;XPATH=/PG(0)&amp;EPUB=Y</v>
      </c>
      <c r="G440" t="s">
        <v>2139</v>
      </c>
      <c r="H440" t="s">
        <v>2974</v>
      </c>
      <c r="I440">
        <v>1206726</v>
      </c>
      <c r="J440" t="s">
        <v>3263</v>
      </c>
      <c r="K440" t="s">
        <v>3886</v>
      </c>
    </row>
    <row r="441" spans="1:11" x14ac:dyDescent="0.3">
      <c r="A441" t="s">
        <v>4507</v>
      </c>
      <c r="B441" t="s">
        <v>230</v>
      </c>
      <c r="C441" t="s">
        <v>2909</v>
      </c>
      <c r="D441" t="s">
        <v>4111</v>
      </c>
      <c r="E441" t="s">
        <v>1104</v>
      </c>
      <c r="F441" s="1" t="str">
        <f>HYPERLINK("http://ovidsp.ovid.com/ovidweb.cgi?T=JS&amp;NEWS=n&amp;CSC=Y&amp;PAGE=booktext&amp;D=books&amp;AN=01279746$&amp;XPATH=/PG(0)&amp;EPUB=Y","http://ovidsp.ovid.com/ovidweb.cgi?T=JS&amp;NEWS=n&amp;CSC=Y&amp;PAGE=booktext&amp;D=books&amp;AN=01279746$&amp;XPATH=/PG(0)&amp;EPUB=Y")</f>
        <v>http://ovidsp.ovid.com/ovidweb.cgi?T=JS&amp;NEWS=n&amp;CSC=Y&amp;PAGE=booktext&amp;D=books&amp;AN=01279746$&amp;XPATH=/PG(0)&amp;EPUB=Y</v>
      </c>
      <c r="G441" t="s">
        <v>2139</v>
      </c>
      <c r="H441" t="s">
        <v>2974</v>
      </c>
      <c r="I441">
        <v>1206726</v>
      </c>
      <c r="J441" t="s">
        <v>3263</v>
      </c>
      <c r="K441" t="s">
        <v>354</v>
      </c>
    </row>
    <row r="442" spans="1:11" x14ac:dyDescent="0.3">
      <c r="A442" t="s">
        <v>3212</v>
      </c>
      <c r="B442" t="s">
        <v>236</v>
      </c>
      <c r="C442" t="s">
        <v>1230</v>
      </c>
      <c r="D442" t="s">
        <v>4111</v>
      </c>
      <c r="E442" t="s">
        <v>1104</v>
      </c>
      <c r="F442" s="1" t="str">
        <f>HYPERLINK("http://ovidsp.ovid.com/ovidweb.cgi?T=JS&amp;NEWS=n&amp;CSC=Y&amp;PAGE=booktext&amp;D=books&amp;AN=01273316$&amp;XPATH=/PG(0)&amp;EPUB=Y","http://ovidsp.ovid.com/ovidweb.cgi?T=JS&amp;NEWS=n&amp;CSC=Y&amp;PAGE=booktext&amp;D=books&amp;AN=01273316$&amp;XPATH=/PG(0)&amp;EPUB=Y")</f>
        <v>http://ovidsp.ovid.com/ovidweb.cgi?T=JS&amp;NEWS=n&amp;CSC=Y&amp;PAGE=booktext&amp;D=books&amp;AN=01273316$&amp;XPATH=/PG(0)&amp;EPUB=Y</v>
      </c>
      <c r="G442" t="s">
        <v>2139</v>
      </c>
      <c r="H442" t="s">
        <v>2974</v>
      </c>
      <c r="I442">
        <v>1206726</v>
      </c>
      <c r="J442" t="s">
        <v>3263</v>
      </c>
      <c r="K442" t="s">
        <v>2727</v>
      </c>
    </row>
    <row r="443" spans="1:11" x14ac:dyDescent="0.3">
      <c r="A443" t="s">
        <v>3192</v>
      </c>
      <c r="B443" t="s">
        <v>3734</v>
      </c>
      <c r="C443" t="s">
        <v>1099</v>
      </c>
      <c r="D443" t="s">
        <v>4111</v>
      </c>
      <c r="E443" t="s">
        <v>3051</v>
      </c>
      <c r="F443" s="1" t="str">
        <f>HYPERLINK("http://ovidsp.ovid.com/ovidweb.cgi?T=JS&amp;NEWS=n&amp;CSC=Y&amp;PAGE=booktext&amp;D=books&amp;AN=00139926$&amp;XPATH=/PG(0)&amp;EPUB=Y","http://ovidsp.ovid.com/ovidweb.cgi?T=JS&amp;NEWS=n&amp;CSC=Y&amp;PAGE=booktext&amp;D=books&amp;AN=00139926$&amp;XPATH=/PG(0)&amp;EPUB=Y")</f>
        <v>http://ovidsp.ovid.com/ovidweb.cgi?T=JS&amp;NEWS=n&amp;CSC=Y&amp;PAGE=booktext&amp;D=books&amp;AN=00139926$&amp;XPATH=/PG(0)&amp;EPUB=Y</v>
      </c>
      <c r="G443" t="s">
        <v>2139</v>
      </c>
      <c r="H443" t="s">
        <v>2974</v>
      </c>
      <c r="I443">
        <v>1206726</v>
      </c>
      <c r="J443" t="s">
        <v>3263</v>
      </c>
      <c r="K443" t="s">
        <v>4552</v>
      </c>
    </row>
    <row r="444" spans="1:11" x14ac:dyDescent="0.3">
      <c r="A444" t="s">
        <v>4187</v>
      </c>
      <c r="B444" t="s">
        <v>2581</v>
      </c>
      <c r="C444" t="s">
        <v>82</v>
      </c>
      <c r="D444" t="s">
        <v>4111</v>
      </c>
      <c r="E444" t="s">
        <v>1104</v>
      </c>
      <c r="F444" s="1" t="str">
        <f>HYPERLINK("http://ovidsp.ovid.com/ovidweb.cgi?T=JS&amp;NEWS=n&amp;CSC=Y&amp;PAGE=booktext&amp;D=books&amp;AN=01382885$&amp;XPATH=/PG(0)&amp;EPUB=Y","http://ovidsp.ovid.com/ovidweb.cgi?T=JS&amp;NEWS=n&amp;CSC=Y&amp;PAGE=booktext&amp;D=books&amp;AN=01382885$&amp;XPATH=/PG(0)&amp;EPUB=Y")</f>
        <v>http://ovidsp.ovid.com/ovidweb.cgi?T=JS&amp;NEWS=n&amp;CSC=Y&amp;PAGE=booktext&amp;D=books&amp;AN=01382885$&amp;XPATH=/PG(0)&amp;EPUB=Y</v>
      </c>
      <c r="G444" t="s">
        <v>2139</v>
      </c>
      <c r="H444" t="s">
        <v>2974</v>
      </c>
      <c r="I444">
        <v>1206726</v>
      </c>
      <c r="J444" t="s">
        <v>3263</v>
      </c>
      <c r="K444" t="s">
        <v>3147</v>
      </c>
    </row>
    <row r="445" spans="1:11" x14ac:dyDescent="0.3">
      <c r="A445" t="s">
        <v>1715</v>
      </c>
      <c r="B445" t="s">
        <v>1959</v>
      </c>
      <c r="C445" t="s">
        <v>2367</v>
      </c>
      <c r="D445" t="s">
        <v>4111</v>
      </c>
      <c r="E445" t="s">
        <v>3051</v>
      </c>
      <c r="F445" s="1" t="str">
        <f>HYPERLINK("http://ovidsp.ovid.com/ovidweb.cgi?T=JS&amp;NEWS=n&amp;CSC=Y&amp;PAGE=booktext&amp;D=books&amp;AN=01337664$&amp;XPATH=/PG(0)&amp;EPUB=Y","http://ovidsp.ovid.com/ovidweb.cgi?T=JS&amp;NEWS=n&amp;CSC=Y&amp;PAGE=booktext&amp;D=books&amp;AN=01337664$&amp;XPATH=/PG(0)&amp;EPUB=Y")</f>
        <v>http://ovidsp.ovid.com/ovidweb.cgi?T=JS&amp;NEWS=n&amp;CSC=Y&amp;PAGE=booktext&amp;D=books&amp;AN=01337664$&amp;XPATH=/PG(0)&amp;EPUB=Y</v>
      </c>
      <c r="G445" t="s">
        <v>2139</v>
      </c>
      <c r="H445" t="s">
        <v>2974</v>
      </c>
      <c r="I445">
        <v>1206726</v>
      </c>
      <c r="J445" t="s">
        <v>3263</v>
      </c>
      <c r="K445" t="s">
        <v>2724</v>
      </c>
    </row>
    <row r="446" spans="1:11" x14ac:dyDescent="0.3">
      <c r="A446" t="s">
        <v>3413</v>
      </c>
      <c r="B446" t="s">
        <v>3355</v>
      </c>
      <c r="C446" t="s">
        <v>3122</v>
      </c>
      <c r="D446" t="s">
        <v>4111</v>
      </c>
      <c r="E446" t="s">
        <v>3051</v>
      </c>
      <c r="F446" s="1" t="str">
        <f>HYPERLINK("http://ovidsp.ovid.com/ovidweb.cgi?T=JS&amp;NEWS=n&amp;CSC=Y&amp;PAGE=booktext&amp;D=books&amp;AN=01437408$&amp;XPATH=/PG(0)&amp;EPUB=Y","http://ovidsp.ovid.com/ovidweb.cgi?T=JS&amp;NEWS=n&amp;CSC=Y&amp;PAGE=booktext&amp;D=books&amp;AN=01437408$&amp;XPATH=/PG(0)&amp;EPUB=Y")</f>
        <v>http://ovidsp.ovid.com/ovidweb.cgi?T=JS&amp;NEWS=n&amp;CSC=Y&amp;PAGE=booktext&amp;D=books&amp;AN=01437408$&amp;XPATH=/PG(0)&amp;EPUB=Y</v>
      </c>
      <c r="G446" t="s">
        <v>2139</v>
      </c>
      <c r="H446" t="s">
        <v>2974</v>
      </c>
      <c r="I446">
        <v>1206726</v>
      </c>
      <c r="J446" t="s">
        <v>3263</v>
      </c>
      <c r="K446" t="s">
        <v>1298</v>
      </c>
    </row>
    <row r="447" spans="1:11" x14ac:dyDescent="0.3">
      <c r="A447" t="s">
        <v>1843</v>
      </c>
      <c r="B447" t="s">
        <v>3527</v>
      </c>
      <c r="C447" t="s">
        <v>4653</v>
      </c>
      <c r="D447" t="s">
        <v>4111</v>
      </c>
      <c r="E447" t="s">
        <v>3051</v>
      </c>
      <c r="F447" s="1" t="str">
        <f>HYPERLINK("http://ovidsp.ovid.com/ovidweb.cgi?T=JS&amp;NEWS=n&amp;CSC=Y&amp;PAGE=booktext&amp;D=books&amp;AN=01382479$&amp;XPATH=/PG(0)&amp;EPUB=Y","http://ovidsp.ovid.com/ovidweb.cgi?T=JS&amp;NEWS=n&amp;CSC=Y&amp;PAGE=booktext&amp;D=books&amp;AN=01382479$&amp;XPATH=/PG(0)&amp;EPUB=Y")</f>
        <v>http://ovidsp.ovid.com/ovidweb.cgi?T=JS&amp;NEWS=n&amp;CSC=Y&amp;PAGE=booktext&amp;D=books&amp;AN=01382479$&amp;XPATH=/PG(0)&amp;EPUB=Y</v>
      </c>
      <c r="G447" t="s">
        <v>2139</v>
      </c>
      <c r="H447" t="s">
        <v>2974</v>
      </c>
      <c r="I447">
        <v>1206726</v>
      </c>
      <c r="J447" t="s">
        <v>3263</v>
      </c>
      <c r="K447" t="s">
        <v>1100</v>
      </c>
    </row>
    <row r="448" spans="1:11" x14ac:dyDescent="0.3">
      <c r="A448" t="s">
        <v>683</v>
      </c>
      <c r="B448" t="s">
        <v>503</v>
      </c>
      <c r="C448" t="s">
        <v>646</v>
      </c>
      <c r="D448" t="s">
        <v>4111</v>
      </c>
      <c r="E448" t="s">
        <v>404</v>
      </c>
      <c r="F448" s="1" t="str">
        <f>HYPERLINK("http://ovidsp.ovid.com/ovidweb.cgi?T=JS&amp;NEWS=n&amp;CSC=Y&amp;PAGE=booktext&amp;D=books&amp;AN=01382560$&amp;XPATH=/PG(0)&amp;EPUB=Y","http://ovidsp.ovid.com/ovidweb.cgi?T=JS&amp;NEWS=n&amp;CSC=Y&amp;PAGE=booktext&amp;D=books&amp;AN=01382560$&amp;XPATH=/PG(0)&amp;EPUB=Y")</f>
        <v>http://ovidsp.ovid.com/ovidweb.cgi?T=JS&amp;NEWS=n&amp;CSC=Y&amp;PAGE=booktext&amp;D=books&amp;AN=01382560$&amp;XPATH=/PG(0)&amp;EPUB=Y</v>
      </c>
      <c r="G448" t="s">
        <v>2139</v>
      </c>
      <c r="H448" t="s">
        <v>2974</v>
      </c>
      <c r="I448">
        <v>1206726</v>
      </c>
      <c r="J448" t="s">
        <v>3263</v>
      </c>
      <c r="K448" t="s">
        <v>4243</v>
      </c>
    </row>
    <row r="449" spans="1:11" x14ac:dyDescent="0.3">
      <c r="A449" t="s">
        <v>1280</v>
      </c>
      <c r="B449" t="s">
        <v>1783</v>
      </c>
      <c r="C449" t="s">
        <v>2257</v>
      </c>
      <c r="D449" t="s">
        <v>4111</v>
      </c>
      <c r="E449" t="s">
        <v>404</v>
      </c>
      <c r="F449" s="1" t="str">
        <f>HYPERLINK("http://ovidsp.ovid.com/ovidweb.cgi?T=JS&amp;NEWS=n&amp;CSC=Y&amp;PAGE=booktext&amp;D=books&amp;AN=00139927$&amp;XPATH=/PG(0)&amp;EPUB=Y","http://ovidsp.ovid.com/ovidweb.cgi?T=JS&amp;NEWS=n&amp;CSC=Y&amp;PAGE=booktext&amp;D=books&amp;AN=00139927$&amp;XPATH=/PG(0)&amp;EPUB=Y")</f>
        <v>http://ovidsp.ovid.com/ovidweb.cgi?T=JS&amp;NEWS=n&amp;CSC=Y&amp;PAGE=booktext&amp;D=books&amp;AN=00139927$&amp;XPATH=/PG(0)&amp;EPUB=Y</v>
      </c>
      <c r="G449" t="s">
        <v>2139</v>
      </c>
      <c r="H449" t="s">
        <v>2974</v>
      </c>
      <c r="I449">
        <v>1206726</v>
      </c>
      <c r="J449" t="s">
        <v>3263</v>
      </c>
      <c r="K449" t="s">
        <v>1369</v>
      </c>
    </row>
    <row r="450" spans="1:11" x14ac:dyDescent="0.3">
      <c r="A450" t="s">
        <v>1545</v>
      </c>
      <c r="B450" t="s">
        <v>3429</v>
      </c>
      <c r="C450" t="s">
        <v>3280</v>
      </c>
      <c r="D450" t="s">
        <v>4111</v>
      </c>
      <c r="E450" t="s">
        <v>404</v>
      </c>
      <c r="F450" s="1" t="str">
        <f>HYPERLINK("http://ovidsp.ovid.com/ovidweb.cgi?T=JS&amp;NEWS=n&amp;CSC=Y&amp;PAGE=booktext&amp;D=books&amp;AN=01382565$&amp;XPATH=/PG(0)&amp;EPUB=Y","http://ovidsp.ovid.com/ovidweb.cgi?T=JS&amp;NEWS=n&amp;CSC=Y&amp;PAGE=booktext&amp;D=books&amp;AN=01382565$&amp;XPATH=/PG(0)&amp;EPUB=Y")</f>
        <v>http://ovidsp.ovid.com/ovidweb.cgi?T=JS&amp;NEWS=n&amp;CSC=Y&amp;PAGE=booktext&amp;D=books&amp;AN=01382565$&amp;XPATH=/PG(0)&amp;EPUB=Y</v>
      </c>
      <c r="G450" t="s">
        <v>2139</v>
      </c>
      <c r="H450" t="s">
        <v>2974</v>
      </c>
      <c r="I450">
        <v>1206726</v>
      </c>
      <c r="J450" t="s">
        <v>3263</v>
      </c>
      <c r="K450" t="s">
        <v>2820</v>
      </c>
    </row>
    <row r="451" spans="1:11" x14ac:dyDescent="0.3">
      <c r="A451" t="s">
        <v>2444</v>
      </c>
      <c r="B451" t="s">
        <v>4376</v>
      </c>
      <c r="C451" t="s">
        <v>237</v>
      </c>
      <c r="D451" t="s">
        <v>4111</v>
      </c>
      <c r="E451" t="s">
        <v>2223</v>
      </c>
      <c r="F451" s="1" t="str">
        <f>HYPERLINK("http://ovidsp.ovid.com/ovidweb.cgi?T=JS&amp;NEWS=n&amp;CSC=Y&amp;PAGE=booktext&amp;D=books&amp;AN=01435757$&amp;XPATH=/PG(0)&amp;EPUB=Y","http://ovidsp.ovid.com/ovidweb.cgi?T=JS&amp;NEWS=n&amp;CSC=Y&amp;PAGE=booktext&amp;D=books&amp;AN=01435757$&amp;XPATH=/PG(0)&amp;EPUB=Y")</f>
        <v>http://ovidsp.ovid.com/ovidweb.cgi?T=JS&amp;NEWS=n&amp;CSC=Y&amp;PAGE=booktext&amp;D=books&amp;AN=01435757$&amp;XPATH=/PG(0)&amp;EPUB=Y</v>
      </c>
      <c r="G451" t="s">
        <v>2139</v>
      </c>
      <c r="H451" t="s">
        <v>2974</v>
      </c>
      <c r="I451">
        <v>1206726</v>
      </c>
      <c r="J451" t="s">
        <v>3263</v>
      </c>
      <c r="K451" t="s">
        <v>4666</v>
      </c>
    </row>
    <row r="452" spans="1:11" x14ac:dyDescent="0.3">
      <c r="A452" t="s">
        <v>1572</v>
      </c>
      <c r="B452" t="s">
        <v>3002</v>
      </c>
      <c r="C452" t="s">
        <v>2209</v>
      </c>
      <c r="D452" t="s">
        <v>4111</v>
      </c>
      <c r="E452" t="s">
        <v>3051</v>
      </c>
      <c r="F452" s="1" t="str">
        <f>HYPERLINK("http://ovidsp.ovid.com/ovidweb.cgi?T=JS&amp;NEWS=n&amp;CSC=Y&amp;PAGE=booktext&amp;D=books&amp;AN=01437524$&amp;XPATH=/PG(0)&amp;EPUB=Y","http://ovidsp.ovid.com/ovidweb.cgi?T=JS&amp;NEWS=n&amp;CSC=Y&amp;PAGE=booktext&amp;D=books&amp;AN=01437524$&amp;XPATH=/PG(0)&amp;EPUB=Y")</f>
        <v>http://ovidsp.ovid.com/ovidweb.cgi?T=JS&amp;NEWS=n&amp;CSC=Y&amp;PAGE=booktext&amp;D=books&amp;AN=01437524$&amp;XPATH=/PG(0)&amp;EPUB=Y</v>
      </c>
      <c r="G452" t="s">
        <v>2139</v>
      </c>
      <c r="H452" t="s">
        <v>2974</v>
      </c>
      <c r="I452">
        <v>1206726</v>
      </c>
      <c r="J452" t="s">
        <v>3263</v>
      </c>
      <c r="K452" t="s">
        <v>4278</v>
      </c>
    </row>
    <row r="453" spans="1:11" x14ac:dyDescent="0.3">
      <c r="A453" t="s">
        <v>1204</v>
      </c>
      <c r="B453" t="s">
        <v>4563</v>
      </c>
      <c r="C453" t="s">
        <v>3474</v>
      </c>
      <c r="D453" t="s">
        <v>4111</v>
      </c>
      <c r="E453" t="s">
        <v>2876</v>
      </c>
      <c r="F453" s="1" t="str">
        <f>HYPERLINK("http://ovidsp.ovid.com/ovidweb.cgi?T=JS&amp;NEWS=n&amp;CSC=Y&amp;PAGE=booktext&amp;D=books&amp;AN=01435386$&amp;XPATH=/PG(0)&amp;EPUB=Y","http://ovidsp.ovid.com/ovidweb.cgi?T=JS&amp;NEWS=n&amp;CSC=Y&amp;PAGE=booktext&amp;D=books&amp;AN=01435386$&amp;XPATH=/PG(0)&amp;EPUB=Y")</f>
        <v>http://ovidsp.ovid.com/ovidweb.cgi?T=JS&amp;NEWS=n&amp;CSC=Y&amp;PAGE=booktext&amp;D=books&amp;AN=01435386$&amp;XPATH=/PG(0)&amp;EPUB=Y</v>
      </c>
      <c r="G453" t="s">
        <v>2139</v>
      </c>
      <c r="H453" t="s">
        <v>2974</v>
      </c>
      <c r="I453">
        <v>1206726</v>
      </c>
      <c r="J453" t="s">
        <v>3263</v>
      </c>
      <c r="K453" t="s">
        <v>2972</v>
      </c>
    </row>
    <row r="454" spans="1:11" x14ac:dyDescent="0.3">
      <c r="A454" t="s">
        <v>1204</v>
      </c>
      <c r="B454" t="s">
        <v>4329</v>
      </c>
      <c r="C454" t="s">
        <v>1566</v>
      </c>
      <c r="D454" t="s">
        <v>4111</v>
      </c>
      <c r="E454" t="s">
        <v>3051</v>
      </c>
      <c r="F454" s="1" t="str">
        <f>HYPERLINK("http://ovidsp.ovid.com/ovidweb.cgi?T=JS&amp;NEWS=n&amp;CSC=Y&amp;PAGE=booktext&amp;D=books&amp;AN=01222995$&amp;XPATH=/PG(0)&amp;EPUB=Y","http://ovidsp.ovid.com/ovidweb.cgi?T=JS&amp;NEWS=n&amp;CSC=Y&amp;PAGE=booktext&amp;D=books&amp;AN=01222995$&amp;XPATH=/PG(0)&amp;EPUB=Y")</f>
        <v>http://ovidsp.ovid.com/ovidweb.cgi?T=JS&amp;NEWS=n&amp;CSC=Y&amp;PAGE=booktext&amp;D=books&amp;AN=01222995$&amp;XPATH=/PG(0)&amp;EPUB=Y</v>
      </c>
      <c r="G454" t="s">
        <v>2139</v>
      </c>
      <c r="H454" t="s">
        <v>2974</v>
      </c>
      <c r="I454">
        <v>1206726</v>
      </c>
      <c r="J454" t="s">
        <v>3263</v>
      </c>
      <c r="K454" t="s">
        <v>1289</v>
      </c>
    </row>
    <row r="455" spans="1:11" x14ac:dyDescent="0.3">
      <c r="A455" t="s">
        <v>394</v>
      </c>
      <c r="B455" t="s">
        <v>607</v>
      </c>
      <c r="C455" t="s">
        <v>39</v>
      </c>
      <c r="D455" t="s">
        <v>4111</v>
      </c>
      <c r="E455" t="s">
        <v>3051</v>
      </c>
      <c r="F455" s="1" t="str">
        <f>HYPERLINK("http://ovidsp.ovid.com/ovidweb.cgi?T=JS&amp;NEWS=n&amp;CSC=Y&amp;PAGE=booktext&amp;D=books&amp;AN=00139928$&amp;XPATH=/PG(0)&amp;EPUB=Y","http://ovidsp.ovid.com/ovidweb.cgi?T=JS&amp;NEWS=n&amp;CSC=Y&amp;PAGE=booktext&amp;D=books&amp;AN=00139928$&amp;XPATH=/PG(0)&amp;EPUB=Y")</f>
        <v>http://ovidsp.ovid.com/ovidweb.cgi?T=JS&amp;NEWS=n&amp;CSC=Y&amp;PAGE=booktext&amp;D=books&amp;AN=00139928$&amp;XPATH=/PG(0)&amp;EPUB=Y</v>
      </c>
      <c r="G455" t="s">
        <v>2139</v>
      </c>
      <c r="H455" t="s">
        <v>2974</v>
      </c>
      <c r="I455">
        <v>1206726</v>
      </c>
      <c r="J455" t="s">
        <v>3263</v>
      </c>
      <c r="K455" t="s">
        <v>3894</v>
      </c>
    </row>
    <row r="456" spans="1:11" x14ac:dyDescent="0.3">
      <c r="A456" t="s">
        <v>456</v>
      </c>
      <c r="B456" t="s">
        <v>4093</v>
      </c>
      <c r="C456" t="s">
        <v>2294</v>
      </c>
      <c r="D456" t="s">
        <v>4111</v>
      </c>
      <c r="E456" t="s">
        <v>2223</v>
      </c>
      <c r="F456" s="1" t="str">
        <f>HYPERLINK("http://ovidsp.ovid.com/ovidweb.cgi?T=JS&amp;NEWS=n&amp;CSC=Y&amp;PAGE=booktext&amp;D=books&amp;AN=01735157$&amp;XPATH=/PG(0)&amp;EPUB=Y","http://ovidsp.ovid.com/ovidweb.cgi?T=JS&amp;NEWS=n&amp;CSC=Y&amp;PAGE=booktext&amp;D=books&amp;AN=01735157$&amp;XPATH=/PG(0)&amp;EPUB=Y")</f>
        <v>http://ovidsp.ovid.com/ovidweb.cgi?T=JS&amp;NEWS=n&amp;CSC=Y&amp;PAGE=booktext&amp;D=books&amp;AN=01735157$&amp;XPATH=/PG(0)&amp;EPUB=Y</v>
      </c>
      <c r="G456" t="s">
        <v>2139</v>
      </c>
      <c r="H456" t="s">
        <v>2974</v>
      </c>
      <c r="I456">
        <v>1206726</v>
      </c>
      <c r="J456" t="s">
        <v>3263</v>
      </c>
      <c r="K456" t="s">
        <v>4025</v>
      </c>
    </row>
    <row r="457" spans="1:11" x14ac:dyDescent="0.3">
      <c r="A457" t="s">
        <v>4569</v>
      </c>
      <c r="B457" t="s">
        <v>770</v>
      </c>
      <c r="C457" t="s">
        <v>3068</v>
      </c>
      <c r="D457" t="s">
        <v>4111</v>
      </c>
      <c r="E457" t="s">
        <v>3051</v>
      </c>
      <c r="F457" s="1" t="str">
        <f>HYPERLINK("http://ovidsp.ovid.com/ovidweb.cgi?T=JS&amp;NEWS=n&amp;CSC=Y&amp;PAGE=booktext&amp;D=books&amp;AN=01257009$&amp;XPATH=/PG(0)&amp;EPUB=Y","http://ovidsp.ovid.com/ovidweb.cgi?T=JS&amp;NEWS=n&amp;CSC=Y&amp;PAGE=booktext&amp;D=books&amp;AN=01257009$&amp;XPATH=/PG(0)&amp;EPUB=Y")</f>
        <v>http://ovidsp.ovid.com/ovidweb.cgi?T=JS&amp;NEWS=n&amp;CSC=Y&amp;PAGE=booktext&amp;D=books&amp;AN=01257009$&amp;XPATH=/PG(0)&amp;EPUB=Y</v>
      </c>
      <c r="G457" t="s">
        <v>2139</v>
      </c>
      <c r="H457" t="s">
        <v>2974</v>
      </c>
      <c r="I457">
        <v>1206726</v>
      </c>
      <c r="J457" t="s">
        <v>3263</v>
      </c>
      <c r="K457" t="s">
        <v>1246</v>
      </c>
    </row>
    <row r="458" spans="1:11" x14ac:dyDescent="0.3">
      <c r="A458" t="s">
        <v>1634</v>
      </c>
      <c r="B458" t="s">
        <v>159</v>
      </c>
      <c r="C458" t="s">
        <v>3131</v>
      </c>
      <c r="D458" t="s">
        <v>4111</v>
      </c>
      <c r="E458" t="s">
        <v>259</v>
      </c>
      <c r="F458" s="1" t="str">
        <f>HYPERLINK("http://ovidsp.ovid.com/ovidweb.cgi?T=JS&amp;NEWS=n&amp;CSC=Y&amp;PAGE=booktext&amp;D=books&amp;AN=01787236$&amp;XPATH=/PG(0)&amp;EPUB=Y","http://ovidsp.ovid.com/ovidweb.cgi?T=JS&amp;NEWS=n&amp;CSC=Y&amp;PAGE=booktext&amp;D=books&amp;AN=01787236$&amp;XPATH=/PG(0)&amp;EPUB=Y")</f>
        <v>http://ovidsp.ovid.com/ovidweb.cgi?T=JS&amp;NEWS=n&amp;CSC=Y&amp;PAGE=booktext&amp;D=books&amp;AN=01787236$&amp;XPATH=/PG(0)&amp;EPUB=Y</v>
      </c>
      <c r="G458" t="s">
        <v>2139</v>
      </c>
      <c r="H458" t="s">
        <v>2974</v>
      </c>
      <c r="I458">
        <v>1206726</v>
      </c>
      <c r="J458" t="s">
        <v>3263</v>
      </c>
      <c r="K458" t="s">
        <v>3199</v>
      </c>
    </row>
    <row r="459" spans="1:11" x14ac:dyDescent="0.3">
      <c r="A459" t="s">
        <v>1634</v>
      </c>
      <c r="B459" t="s">
        <v>2190</v>
      </c>
      <c r="C459" t="s">
        <v>2057</v>
      </c>
      <c r="D459" t="s">
        <v>4111</v>
      </c>
      <c r="E459" t="s">
        <v>171</v>
      </c>
      <c r="F459" s="1" t="str">
        <f>HYPERLINK("http://ovidsp.ovid.com/ovidweb.cgi?T=JS&amp;NEWS=n&amp;CSC=Y&amp;PAGE=booktext&amp;D=books&amp;AN=01429613$&amp;XPATH=/PG(0)&amp;EPUB=Y","http://ovidsp.ovid.com/ovidweb.cgi?T=JS&amp;NEWS=n&amp;CSC=Y&amp;PAGE=booktext&amp;D=books&amp;AN=01429613$&amp;XPATH=/PG(0)&amp;EPUB=Y")</f>
        <v>http://ovidsp.ovid.com/ovidweb.cgi?T=JS&amp;NEWS=n&amp;CSC=Y&amp;PAGE=booktext&amp;D=books&amp;AN=01429613$&amp;XPATH=/PG(0)&amp;EPUB=Y</v>
      </c>
      <c r="G459" t="s">
        <v>2139</v>
      </c>
      <c r="H459" t="s">
        <v>2974</v>
      </c>
      <c r="I459">
        <v>1206726</v>
      </c>
      <c r="J459" t="s">
        <v>3263</v>
      </c>
      <c r="K459" t="s">
        <v>493</v>
      </c>
    </row>
    <row r="460" spans="1:11" x14ac:dyDescent="0.3">
      <c r="A460" t="s">
        <v>529</v>
      </c>
      <c r="B460" t="s">
        <v>1510</v>
      </c>
      <c r="C460" t="s">
        <v>112</v>
      </c>
      <c r="D460" t="s">
        <v>4111</v>
      </c>
      <c r="E460" t="s">
        <v>3387</v>
      </c>
      <c r="F460" s="1" t="str">
        <f>HYPERLINK("http://ovidsp.ovid.com/ovidweb.cgi?T=JS&amp;NEWS=n&amp;CSC=Y&amp;PAGE=booktext&amp;D=books&amp;AN=01435384$&amp;XPATH=/PG(0)&amp;EPUB=Y","http://ovidsp.ovid.com/ovidweb.cgi?T=JS&amp;NEWS=n&amp;CSC=Y&amp;PAGE=booktext&amp;D=books&amp;AN=01435384$&amp;XPATH=/PG(0)&amp;EPUB=Y")</f>
        <v>http://ovidsp.ovid.com/ovidweb.cgi?T=JS&amp;NEWS=n&amp;CSC=Y&amp;PAGE=booktext&amp;D=books&amp;AN=01435384$&amp;XPATH=/PG(0)&amp;EPUB=Y</v>
      </c>
      <c r="G460" t="s">
        <v>2139</v>
      </c>
      <c r="H460" t="s">
        <v>2974</v>
      </c>
      <c r="I460">
        <v>1206726</v>
      </c>
      <c r="J460" t="s">
        <v>3263</v>
      </c>
      <c r="K460" t="s">
        <v>46</v>
      </c>
    </row>
    <row r="461" spans="1:11" x14ac:dyDescent="0.3">
      <c r="A461" t="s">
        <v>4285</v>
      </c>
      <c r="B461" t="s">
        <v>500</v>
      </c>
      <c r="C461" t="s">
        <v>432</v>
      </c>
      <c r="D461" t="s">
        <v>4111</v>
      </c>
      <c r="E461" t="s">
        <v>3051</v>
      </c>
      <c r="F461" s="1" t="str">
        <f>HYPERLINK("http://ovidsp.ovid.com/ovidweb.cgi?T=JS&amp;NEWS=n&amp;CSC=Y&amp;PAGE=booktext&amp;D=books&amp;AN=01436875$&amp;XPATH=/PG(0)&amp;EPUB=Y","http://ovidsp.ovid.com/ovidweb.cgi?T=JS&amp;NEWS=n&amp;CSC=Y&amp;PAGE=booktext&amp;D=books&amp;AN=01436875$&amp;XPATH=/PG(0)&amp;EPUB=Y")</f>
        <v>http://ovidsp.ovid.com/ovidweb.cgi?T=JS&amp;NEWS=n&amp;CSC=Y&amp;PAGE=booktext&amp;D=books&amp;AN=01436875$&amp;XPATH=/PG(0)&amp;EPUB=Y</v>
      </c>
      <c r="G461" t="s">
        <v>2139</v>
      </c>
      <c r="H461" t="s">
        <v>2974</v>
      </c>
      <c r="I461">
        <v>1206726</v>
      </c>
      <c r="J461" t="s">
        <v>3263</v>
      </c>
      <c r="K461" t="s">
        <v>4202</v>
      </c>
    </row>
    <row r="462" spans="1:11" x14ac:dyDescent="0.3">
      <c r="A462" t="s">
        <v>3580</v>
      </c>
      <c r="B462" t="s">
        <v>4061</v>
      </c>
      <c r="C462" t="s">
        <v>1236</v>
      </c>
      <c r="D462" t="s">
        <v>4111</v>
      </c>
      <c r="E462" t="s">
        <v>1104</v>
      </c>
      <c r="F462" s="1" t="str">
        <f>HYPERLINK("http://ovidsp.ovid.com/ovidweb.cgi?T=JS&amp;NEWS=n&amp;CSC=Y&amp;PAGE=booktext&amp;D=books&amp;AN=00139929$&amp;XPATH=/PG(0)&amp;EPUB=Y","http://ovidsp.ovid.com/ovidweb.cgi?T=JS&amp;NEWS=n&amp;CSC=Y&amp;PAGE=booktext&amp;D=books&amp;AN=00139929$&amp;XPATH=/PG(0)&amp;EPUB=Y")</f>
        <v>http://ovidsp.ovid.com/ovidweb.cgi?T=JS&amp;NEWS=n&amp;CSC=Y&amp;PAGE=booktext&amp;D=books&amp;AN=00139929$&amp;XPATH=/PG(0)&amp;EPUB=Y</v>
      </c>
      <c r="G462" t="s">
        <v>2139</v>
      </c>
      <c r="H462" t="s">
        <v>2974</v>
      </c>
      <c r="I462">
        <v>1206726</v>
      </c>
      <c r="J462" t="s">
        <v>3263</v>
      </c>
      <c r="K462" t="s">
        <v>2544</v>
      </c>
    </row>
    <row r="463" spans="1:11" x14ac:dyDescent="0.3">
      <c r="A463" t="s">
        <v>3580</v>
      </c>
      <c r="B463" t="s">
        <v>3743</v>
      </c>
      <c r="C463" t="s">
        <v>4227</v>
      </c>
      <c r="D463" t="s">
        <v>4111</v>
      </c>
      <c r="E463" t="s">
        <v>404</v>
      </c>
      <c r="F463" s="1" t="str">
        <f>HYPERLINK("http://ovidsp.ovid.com/ovidweb.cgi?T=JS&amp;NEWS=n&amp;CSC=Y&amp;PAGE=booktext&amp;D=books&amp;AN=01382874$&amp;XPATH=/PG(0)&amp;EPUB=Y","http://ovidsp.ovid.com/ovidweb.cgi?T=JS&amp;NEWS=n&amp;CSC=Y&amp;PAGE=booktext&amp;D=books&amp;AN=01382874$&amp;XPATH=/PG(0)&amp;EPUB=Y")</f>
        <v>http://ovidsp.ovid.com/ovidweb.cgi?T=JS&amp;NEWS=n&amp;CSC=Y&amp;PAGE=booktext&amp;D=books&amp;AN=01382874$&amp;XPATH=/PG(0)&amp;EPUB=Y</v>
      </c>
      <c r="G463" t="s">
        <v>2139</v>
      </c>
      <c r="H463" t="s">
        <v>2974</v>
      </c>
      <c r="I463">
        <v>1206726</v>
      </c>
      <c r="J463" t="s">
        <v>3263</v>
      </c>
      <c r="K463" t="s">
        <v>4489</v>
      </c>
    </row>
    <row r="464" spans="1:11" x14ac:dyDescent="0.3">
      <c r="A464" t="s">
        <v>4414</v>
      </c>
      <c r="B464" t="s">
        <v>3726</v>
      </c>
      <c r="C464" t="s">
        <v>1497</v>
      </c>
      <c r="D464" t="s">
        <v>4111</v>
      </c>
      <c r="E464" t="s">
        <v>1595</v>
      </c>
      <c r="F464" s="1" t="str">
        <f>HYPERLINK("http://ovidsp.ovid.com/ovidweb.cgi?T=JS&amp;NEWS=n&amp;CSC=Y&amp;PAGE=booktext&amp;D=books&amp;AN=01337665$&amp;XPATH=/PG(0)&amp;EPUB=Y","http://ovidsp.ovid.com/ovidweb.cgi?T=JS&amp;NEWS=n&amp;CSC=Y&amp;PAGE=booktext&amp;D=books&amp;AN=01337665$&amp;XPATH=/PG(0)&amp;EPUB=Y")</f>
        <v>http://ovidsp.ovid.com/ovidweb.cgi?T=JS&amp;NEWS=n&amp;CSC=Y&amp;PAGE=booktext&amp;D=books&amp;AN=01337665$&amp;XPATH=/PG(0)&amp;EPUB=Y</v>
      </c>
      <c r="G464" t="s">
        <v>2139</v>
      </c>
      <c r="H464" t="s">
        <v>2974</v>
      </c>
      <c r="I464">
        <v>1206726</v>
      </c>
      <c r="J464" t="s">
        <v>3263</v>
      </c>
      <c r="K464" t="s">
        <v>2728</v>
      </c>
    </row>
    <row r="465" spans="1:11" x14ac:dyDescent="0.3">
      <c r="A465" t="s">
        <v>705</v>
      </c>
      <c r="B465" t="s">
        <v>864</v>
      </c>
      <c r="C465" t="s">
        <v>2723</v>
      </c>
      <c r="D465" t="s">
        <v>4111</v>
      </c>
      <c r="E465" t="s">
        <v>2876</v>
      </c>
      <c r="F465" s="1" t="str">
        <f>HYPERLINK("http://ovidsp.ovid.com/ovidweb.cgi?T=JS&amp;NEWS=n&amp;CSC=Y&amp;PAGE=booktext&amp;D=books&amp;AN=01337666$&amp;XPATH=/PG(0)&amp;EPUB=Y","http://ovidsp.ovid.com/ovidweb.cgi?T=JS&amp;NEWS=n&amp;CSC=Y&amp;PAGE=booktext&amp;D=books&amp;AN=01337666$&amp;XPATH=/PG(0)&amp;EPUB=Y")</f>
        <v>http://ovidsp.ovid.com/ovidweb.cgi?T=JS&amp;NEWS=n&amp;CSC=Y&amp;PAGE=booktext&amp;D=books&amp;AN=01337666$&amp;XPATH=/PG(0)&amp;EPUB=Y</v>
      </c>
      <c r="G465" t="s">
        <v>2139</v>
      </c>
      <c r="H465" t="s">
        <v>2974</v>
      </c>
      <c r="I465">
        <v>1206726</v>
      </c>
      <c r="J465" t="s">
        <v>3263</v>
      </c>
      <c r="K465" t="s">
        <v>3371</v>
      </c>
    </row>
    <row r="466" spans="1:11" x14ac:dyDescent="0.3">
      <c r="A466" t="s">
        <v>823</v>
      </c>
      <c r="B466" t="s">
        <v>4676</v>
      </c>
      <c r="C466" t="s">
        <v>787</v>
      </c>
      <c r="D466" t="s">
        <v>4111</v>
      </c>
      <c r="E466" t="s">
        <v>404</v>
      </c>
      <c r="F466" s="1" t="str">
        <f>HYPERLINK("http://ovidsp.ovid.com/ovidweb.cgi?T=JS&amp;NEWS=n&amp;CSC=Y&amp;PAGE=booktext&amp;D=books&amp;AN=01382480$&amp;XPATH=/PG(0)&amp;EPUB=Y","http://ovidsp.ovid.com/ovidweb.cgi?T=JS&amp;NEWS=n&amp;CSC=Y&amp;PAGE=booktext&amp;D=books&amp;AN=01382480$&amp;XPATH=/PG(0)&amp;EPUB=Y")</f>
        <v>http://ovidsp.ovid.com/ovidweb.cgi?T=JS&amp;NEWS=n&amp;CSC=Y&amp;PAGE=booktext&amp;D=books&amp;AN=01382480$&amp;XPATH=/PG(0)&amp;EPUB=Y</v>
      </c>
      <c r="G466" t="s">
        <v>2139</v>
      </c>
      <c r="H466" t="s">
        <v>2974</v>
      </c>
      <c r="I466">
        <v>1206726</v>
      </c>
      <c r="J466" t="s">
        <v>3263</v>
      </c>
      <c r="K466" t="s">
        <v>4000</v>
      </c>
    </row>
    <row r="467" spans="1:11" x14ac:dyDescent="0.3">
      <c r="A467" t="s">
        <v>4232</v>
      </c>
      <c r="B467" t="s">
        <v>4101</v>
      </c>
      <c r="C467" t="s">
        <v>1439</v>
      </c>
      <c r="D467" t="s">
        <v>4111</v>
      </c>
      <c r="E467" t="s">
        <v>404</v>
      </c>
      <c r="F467" s="1" t="str">
        <f>HYPERLINK("http://ovidsp.ovid.com/ovidweb.cgi?T=JS&amp;NEWS=n&amp;CSC=Y&amp;PAGE=booktext&amp;D=books&amp;AN=01382562$&amp;XPATH=/PG(0)&amp;EPUB=Y","http://ovidsp.ovid.com/ovidweb.cgi?T=JS&amp;NEWS=n&amp;CSC=Y&amp;PAGE=booktext&amp;D=books&amp;AN=01382562$&amp;XPATH=/PG(0)&amp;EPUB=Y")</f>
        <v>http://ovidsp.ovid.com/ovidweb.cgi?T=JS&amp;NEWS=n&amp;CSC=Y&amp;PAGE=booktext&amp;D=books&amp;AN=01382562$&amp;XPATH=/PG(0)&amp;EPUB=Y</v>
      </c>
      <c r="G467" t="s">
        <v>2139</v>
      </c>
      <c r="H467" t="s">
        <v>2974</v>
      </c>
      <c r="I467">
        <v>1206726</v>
      </c>
      <c r="J467" t="s">
        <v>3263</v>
      </c>
      <c r="K467" t="s">
        <v>51</v>
      </c>
    </row>
    <row r="468" spans="1:11" x14ac:dyDescent="0.3">
      <c r="A468" t="s">
        <v>3093</v>
      </c>
      <c r="B468" t="s">
        <v>1680</v>
      </c>
      <c r="C468" t="s">
        <v>4372</v>
      </c>
      <c r="D468" t="s">
        <v>4111</v>
      </c>
      <c r="E468" t="s">
        <v>404</v>
      </c>
      <c r="F468" s="1" t="str">
        <f>HYPERLINK("http://ovidsp.ovid.com/ovidweb.cgi?T=JS&amp;NEWS=n&amp;CSC=Y&amp;PAGE=booktext&amp;D=books&amp;AN=01382646$&amp;XPATH=/PG(0)&amp;EPUB=Y","http://ovidsp.ovid.com/ovidweb.cgi?T=JS&amp;NEWS=n&amp;CSC=Y&amp;PAGE=booktext&amp;D=books&amp;AN=01382646$&amp;XPATH=/PG(0)&amp;EPUB=Y")</f>
        <v>http://ovidsp.ovid.com/ovidweb.cgi?T=JS&amp;NEWS=n&amp;CSC=Y&amp;PAGE=booktext&amp;D=books&amp;AN=01382646$&amp;XPATH=/PG(0)&amp;EPUB=Y</v>
      </c>
      <c r="G468" t="s">
        <v>2139</v>
      </c>
      <c r="H468" t="s">
        <v>2974</v>
      </c>
      <c r="I468">
        <v>1206726</v>
      </c>
      <c r="J468" t="s">
        <v>3263</v>
      </c>
      <c r="K468" t="s">
        <v>1597</v>
      </c>
    </row>
    <row r="469" spans="1:11" x14ac:dyDescent="0.3">
      <c r="A469" t="s">
        <v>3729</v>
      </c>
      <c r="B469" t="s">
        <v>483</v>
      </c>
      <c r="C469" t="s">
        <v>4380</v>
      </c>
      <c r="D469" t="s">
        <v>4111</v>
      </c>
      <c r="E469" t="s">
        <v>3387</v>
      </c>
      <c r="F469" s="1" t="str">
        <f>HYPERLINK("http://ovidsp.ovid.com/ovidweb.cgi?T=JS&amp;NEWS=n&amp;CSC=Y&amp;PAGE=booktext&amp;D=books&amp;AN=01435387$&amp;XPATH=/PG(0)&amp;EPUB=Y","http://ovidsp.ovid.com/ovidweb.cgi?T=JS&amp;NEWS=n&amp;CSC=Y&amp;PAGE=booktext&amp;D=books&amp;AN=01435387$&amp;XPATH=/PG(0)&amp;EPUB=Y")</f>
        <v>http://ovidsp.ovid.com/ovidweb.cgi?T=JS&amp;NEWS=n&amp;CSC=Y&amp;PAGE=booktext&amp;D=books&amp;AN=01435387$&amp;XPATH=/PG(0)&amp;EPUB=Y</v>
      </c>
      <c r="G469" t="s">
        <v>2139</v>
      </c>
      <c r="H469" t="s">
        <v>2974</v>
      </c>
      <c r="I469">
        <v>1206726</v>
      </c>
      <c r="J469" t="s">
        <v>3263</v>
      </c>
      <c r="K469" t="s">
        <v>3047</v>
      </c>
    </row>
    <row r="470" spans="1:11" x14ac:dyDescent="0.3">
      <c r="A470" t="s">
        <v>1602</v>
      </c>
      <c r="B470" t="s">
        <v>1593</v>
      </c>
      <c r="C470" t="s">
        <v>3227</v>
      </c>
      <c r="D470" t="s">
        <v>4111</v>
      </c>
      <c r="E470" t="s">
        <v>404</v>
      </c>
      <c r="F470" s="1" t="str">
        <f>HYPERLINK("http://ovidsp.ovid.com/ovidweb.cgi?T=JS&amp;NEWS=n&amp;CSC=Y&amp;PAGE=booktext&amp;D=books&amp;AN=01382566$&amp;XPATH=/PG(0)&amp;EPUB=Y","http://ovidsp.ovid.com/ovidweb.cgi?T=JS&amp;NEWS=n&amp;CSC=Y&amp;PAGE=booktext&amp;D=books&amp;AN=01382566$&amp;XPATH=/PG(0)&amp;EPUB=Y")</f>
        <v>http://ovidsp.ovid.com/ovidweb.cgi?T=JS&amp;NEWS=n&amp;CSC=Y&amp;PAGE=booktext&amp;D=books&amp;AN=01382566$&amp;XPATH=/PG(0)&amp;EPUB=Y</v>
      </c>
      <c r="G470" t="s">
        <v>2139</v>
      </c>
      <c r="H470" t="s">
        <v>2974</v>
      </c>
      <c r="I470">
        <v>1206726</v>
      </c>
      <c r="J470" t="s">
        <v>3263</v>
      </c>
      <c r="K470" t="s">
        <v>2439</v>
      </c>
    </row>
    <row r="471" spans="1:11" x14ac:dyDescent="0.3">
      <c r="A471" t="s">
        <v>364</v>
      </c>
      <c r="B471" t="s">
        <v>2297</v>
      </c>
      <c r="C471" t="s">
        <v>2521</v>
      </c>
      <c r="D471" t="s">
        <v>4111</v>
      </c>
      <c r="E471" t="s">
        <v>3051</v>
      </c>
      <c r="F471" s="1" t="str">
        <f>HYPERLINK("http://ovidsp.ovid.com/ovidweb.cgi?T=JS&amp;NEWS=n&amp;CSC=Y&amp;PAGE=booktext&amp;D=books&amp;AN=01429604$&amp;XPATH=/PG(0)&amp;EPUB=Y","http://ovidsp.ovid.com/ovidweb.cgi?T=JS&amp;NEWS=n&amp;CSC=Y&amp;PAGE=booktext&amp;D=books&amp;AN=01429604$&amp;XPATH=/PG(0)&amp;EPUB=Y")</f>
        <v>http://ovidsp.ovid.com/ovidweb.cgi?T=JS&amp;NEWS=n&amp;CSC=Y&amp;PAGE=booktext&amp;D=books&amp;AN=01429604$&amp;XPATH=/PG(0)&amp;EPUB=Y</v>
      </c>
      <c r="G471" t="s">
        <v>2139</v>
      </c>
      <c r="H471" t="s">
        <v>2974</v>
      </c>
      <c r="I471">
        <v>1206726</v>
      </c>
      <c r="J471" t="s">
        <v>3263</v>
      </c>
      <c r="K471" t="s">
        <v>3356</v>
      </c>
    </row>
    <row r="472" spans="1:11" x14ac:dyDescent="0.3">
      <c r="A472" t="s">
        <v>66</v>
      </c>
      <c r="B472" t="s">
        <v>702</v>
      </c>
      <c r="C472" t="s">
        <v>617</v>
      </c>
      <c r="D472" t="s">
        <v>4111</v>
      </c>
      <c r="E472" t="s">
        <v>404</v>
      </c>
      <c r="F472" s="1" t="str">
        <f>HYPERLINK("http://ovidsp.ovid.com/ovidweb.cgi?T=JS&amp;NEWS=n&amp;CSC=Y&amp;PAGE=booktext&amp;D=books&amp;AN=01438861$&amp;XPATH=/PG(0)&amp;EPUB=Y","http://ovidsp.ovid.com/ovidweb.cgi?T=JS&amp;NEWS=n&amp;CSC=Y&amp;PAGE=booktext&amp;D=books&amp;AN=01438861$&amp;XPATH=/PG(0)&amp;EPUB=Y")</f>
        <v>http://ovidsp.ovid.com/ovidweb.cgi?T=JS&amp;NEWS=n&amp;CSC=Y&amp;PAGE=booktext&amp;D=books&amp;AN=01438861$&amp;XPATH=/PG(0)&amp;EPUB=Y</v>
      </c>
      <c r="G472" t="s">
        <v>2139</v>
      </c>
      <c r="H472" t="s">
        <v>2974</v>
      </c>
      <c r="I472">
        <v>1206726</v>
      </c>
      <c r="J472" t="s">
        <v>3263</v>
      </c>
      <c r="K472" t="s">
        <v>1818</v>
      </c>
    </row>
    <row r="473" spans="1:11" x14ac:dyDescent="0.3">
      <c r="A473" t="s">
        <v>1674</v>
      </c>
      <c r="B473" t="s">
        <v>443</v>
      </c>
      <c r="C473" t="s">
        <v>30</v>
      </c>
      <c r="D473" t="s">
        <v>4111</v>
      </c>
      <c r="E473" t="s">
        <v>404</v>
      </c>
      <c r="F473" s="1" t="str">
        <f>HYPERLINK("http://ovidsp.ovid.com/ovidweb.cgi?T=JS&amp;NEWS=n&amp;CSC=Y&amp;PAGE=booktext&amp;D=books&amp;AN=01257010$&amp;XPATH=/PG(0)&amp;EPUB=Y","http://ovidsp.ovid.com/ovidweb.cgi?T=JS&amp;NEWS=n&amp;CSC=Y&amp;PAGE=booktext&amp;D=books&amp;AN=01257010$&amp;XPATH=/PG(0)&amp;EPUB=Y")</f>
        <v>http://ovidsp.ovid.com/ovidweb.cgi?T=JS&amp;NEWS=n&amp;CSC=Y&amp;PAGE=booktext&amp;D=books&amp;AN=01257010$&amp;XPATH=/PG(0)&amp;EPUB=Y</v>
      </c>
      <c r="G473" t="s">
        <v>2139</v>
      </c>
      <c r="H473" t="s">
        <v>2974</v>
      </c>
      <c r="I473">
        <v>1206726</v>
      </c>
      <c r="J473" t="s">
        <v>3263</v>
      </c>
      <c r="K473" t="s">
        <v>2860</v>
      </c>
    </row>
    <row r="474" spans="1:11" x14ac:dyDescent="0.3">
      <c r="A474" t="s">
        <v>242</v>
      </c>
      <c r="B474" t="s">
        <v>1315</v>
      </c>
      <c r="C474" t="s">
        <v>272</v>
      </c>
      <c r="D474" t="s">
        <v>4111</v>
      </c>
      <c r="E474" t="s">
        <v>2223</v>
      </c>
      <c r="F474" s="1" t="str">
        <f>HYPERLINK("http://ovidsp.ovid.com/ovidweb.cgi?T=JS&amp;NEWS=n&amp;CSC=Y&amp;PAGE=booktext&amp;D=books&amp;AN=01833077$&amp;XPATH=/PG(0)&amp;EPUB=Y","http://ovidsp.ovid.com/ovidweb.cgi?T=JS&amp;NEWS=n&amp;CSC=Y&amp;PAGE=booktext&amp;D=books&amp;AN=01833077$&amp;XPATH=/PG(0)&amp;EPUB=Y")</f>
        <v>http://ovidsp.ovid.com/ovidweb.cgi?T=JS&amp;NEWS=n&amp;CSC=Y&amp;PAGE=booktext&amp;D=books&amp;AN=01833077$&amp;XPATH=/PG(0)&amp;EPUB=Y</v>
      </c>
      <c r="G474" t="s">
        <v>2139</v>
      </c>
      <c r="H474" t="s">
        <v>2974</v>
      </c>
      <c r="I474">
        <v>1206726</v>
      </c>
      <c r="J474" t="s">
        <v>3263</v>
      </c>
      <c r="K474" t="s">
        <v>2260</v>
      </c>
    </row>
    <row r="475" spans="1:11" x14ac:dyDescent="0.3">
      <c r="A475" t="s">
        <v>3627</v>
      </c>
      <c r="B475" t="s">
        <v>4271</v>
      </c>
      <c r="C475" t="s">
        <v>4450</v>
      </c>
      <c r="D475" t="s">
        <v>4111</v>
      </c>
      <c r="E475" t="s">
        <v>1104</v>
      </c>
      <c r="F475" s="1" t="str">
        <f>HYPERLINK("http://ovidsp.ovid.com/ovidweb.cgi?T=JS&amp;NEWS=n&amp;CSC=Y&amp;PAGE=booktext&amp;D=books&amp;AN=00139960$&amp;XPATH=/PG(0)&amp;EPUB=Y","http://ovidsp.ovid.com/ovidweb.cgi?T=JS&amp;NEWS=n&amp;CSC=Y&amp;PAGE=booktext&amp;D=books&amp;AN=00139960$&amp;XPATH=/PG(0)&amp;EPUB=Y")</f>
        <v>http://ovidsp.ovid.com/ovidweb.cgi?T=JS&amp;NEWS=n&amp;CSC=Y&amp;PAGE=booktext&amp;D=books&amp;AN=00139960$&amp;XPATH=/PG(0)&amp;EPUB=Y</v>
      </c>
      <c r="G475" t="s">
        <v>2139</v>
      </c>
      <c r="H475" t="s">
        <v>2974</v>
      </c>
      <c r="I475">
        <v>1206726</v>
      </c>
      <c r="J475" t="s">
        <v>3263</v>
      </c>
      <c r="K475" t="s">
        <v>3518</v>
      </c>
    </row>
    <row r="476" spans="1:11" x14ac:dyDescent="0.3">
      <c r="A476" t="s">
        <v>3879</v>
      </c>
      <c r="B476" t="s">
        <v>2936</v>
      </c>
      <c r="C476" t="s">
        <v>1156</v>
      </c>
      <c r="D476" t="s">
        <v>4111</v>
      </c>
      <c r="E476" t="s">
        <v>2223</v>
      </c>
      <c r="F476" s="1" t="str">
        <f>HYPERLINK("http://ovidsp.ovid.com/ovidweb.cgi?T=JS&amp;NEWS=n&amp;CSC=Y&amp;PAGE=booktext&amp;D=books&amp;AN=01437525$&amp;XPATH=/PG(0)&amp;EPUB=Y","http://ovidsp.ovid.com/ovidweb.cgi?T=JS&amp;NEWS=n&amp;CSC=Y&amp;PAGE=booktext&amp;D=books&amp;AN=01437525$&amp;XPATH=/PG(0)&amp;EPUB=Y")</f>
        <v>http://ovidsp.ovid.com/ovidweb.cgi?T=JS&amp;NEWS=n&amp;CSC=Y&amp;PAGE=booktext&amp;D=books&amp;AN=01437525$&amp;XPATH=/PG(0)&amp;EPUB=Y</v>
      </c>
      <c r="G476" t="s">
        <v>2139</v>
      </c>
      <c r="H476" t="s">
        <v>2974</v>
      </c>
      <c r="I476">
        <v>1206726</v>
      </c>
      <c r="J476" t="s">
        <v>3263</v>
      </c>
      <c r="K476" t="s">
        <v>2813</v>
      </c>
    </row>
    <row r="477" spans="1:11" x14ac:dyDescent="0.3">
      <c r="A477" t="s">
        <v>3992</v>
      </c>
      <c r="B477" t="s">
        <v>1171</v>
      </c>
      <c r="C477" t="s">
        <v>2779</v>
      </c>
      <c r="D477" t="s">
        <v>4111</v>
      </c>
      <c r="E477" t="s">
        <v>2876</v>
      </c>
      <c r="F477" s="1" t="str">
        <f>HYPERLINK("http://ovidsp.ovid.com/ovidweb.cgi?T=JS&amp;NEWS=n&amp;CSC=Y&amp;PAGE=booktext&amp;D=books&amp;AN=01382481$&amp;XPATH=/PG(0)&amp;EPUB=Y","http://ovidsp.ovid.com/ovidweb.cgi?T=JS&amp;NEWS=n&amp;CSC=Y&amp;PAGE=booktext&amp;D=books&amp;AN=01382481$&amp;XPATH=/PG(0)&amp;EPUB=Y")</f>
        <v>http://ovidsp.ovid.com/ovidweb.cgi?T=JS&amp;NEWS=n&amp;CSC=Y&amp;PAGE=booktext&amp;D=books&amp;AN=01382481$&amp;XPATH=/PG(0)&amp;EPUB=Y</v>
      </c>
      <c r="G477" t="s">
        <v>2139</v>
      </c>
      <c r="H477" t="s">
        <v>2974</v>
      </c>
      <c r="I477">
        <v>1206726</v>
      </c>
      <c r="J477" t="s">
        <v>3263</v>
      </c>
      <c r="K477" t="s">
        <v>2400</v>
      </c>
    </row>
    <row r="478" spans="1:11" x14ac:dyDescent="0.3">
      <c r="A478" t="s">
        <v>1301</v>
      </c>
      <c r="B478" t="s">
        <v>3888</v>
      </c>
      <c r="C478" t="s">
        <v>4433</v>
      </c>
      <c r="D478" t="s">
        <v>4111</v>
      </c>
      <c r="E478" t="s">
        <v>2876</v>
      </c>
      <c r="F478" s="1" t="str">
        <f>HYPERLINK("http://ovidsp.ovid.com/ovidweb.cgi?T=JS&amp;NEWS=n&amp;CSC=Y&amp;PAGE=booktext&amp;D=books&amp;AN=01429412$&amp;XPATH=/PG(0)&amp;EPUB=Y","http://ovidsp.ovid.com/ovidweb.cgi?T=JS&amp;NEWS=n&amp;CSC=Y&amp;PAGE=booktext&amp;D=books&amp;AN=01429412$&amp;XPATH=/PG(0)&amp;EPUB=Y")</f>
        <v>http://ovidsp.ovid.com/ovidweb.cgi?T=JS&amp;NEWS=n&amp;CSC=Y&amp;PAGE=booktext&amp;D=books&amp;AN=01429412$&amp;XPATH=/PG(0)&amp;EPUB=Y</v>
      </c>
      <c r="G478" t="s">
        <v>2139</v>
      </c>
      <c r="H478" t="s">
        <v>2974</v>
      </c>
      <c r="I478">
        <v>1206726</v>
      </c>
      <c r="J478" t="s">
        <v>3263</v>
      </c>
      <c r="K478" t="s">
        <v>2301</v>
      </c>
    </row>
    <row r="479" spans="1:11" x14ac:dyDescent="0.3">
      <c r="A479" t="s">
        <v>1186</v>
      </c>
      <c r="B479" t="s">
        <v>2973</v>
      </c>
      <c r="C479" t="s">
        <v>2121</v>
      </c>
      <c r="D479" t="s">
        <v>4111</v>
      </c>
      <c r="E479" t="s">
        <v>2223</v>
      </c>
      <c r="F479" s="1" t="str">
        <f>HYPERLINK("http://ovidsp.ovid.com/ovidweb.cgi?T=JS&amp;NEWS=n&amp;CSC=Y&amp;PAGE=booktext&amp;D=books&amp;AN=01434721$&amp;XPATH=/PG(0)&amp;EPUB=Y","http://ovidsp.ovid.com/ovidweb.cgi?T=JS&amp;NEWS=n&amp;CSC=Y&amp;PAGE=booktext&amp;D=books&amp;AN=01434721$&amp;XPATH=/PG(0)&amp;EPUB=Y")</f>
        <v>http://ovidsp.ovid.com/ovidweb.cgi?T=JS&amp;NEWS=n&amp;CSC=Y&amp;PAGE=booktext&amp;D=books&amp;AN=01434721$&amp;XPATH=/PG(0)&amp;EPUB=Y</v>
      </c>
      <c r="G479" t="s">
        <v>2139</v>
      </c>
      <c r="H479" t="s">
        <v>2974</v>
      </c>
      <c r="I479">
        <v>1206726</v>
      </c>
      <c r="J479" t="s">
        <v>3263</v>
      </c>
      <c r="K479" t="s">
        <v>3228</v>
      </c>
    </row>
    <row r="480" spans="1:11" x14ac:dyDescent="0.3">
      <c r="A480" t="s">
        <v>2733</v>
      </c>
      <c r="B480" t="s">
        <v>3056</v>
      </c>
      <c r="C480" t="s">
        <v>89</v>
      </c>
      <c r="D480" t="s">
        <v>4111</v>
      </c>
      <c r="E480" t="s">
        <v>3051</v>
      </c>
      <c r="F480" s="1" t="str">
        <f>HYPERLINK("http://ovidsp.ovid.com/ovidweb.cgi?T=JS&amp;NEWS=n&amp;CSC=Y&amp;PAGE=booktext&amp;D=books&amp;AN=00139932$&amp;XPATH=/PG(0)&amp;EPUB=Y","http://ovidsp.ovid.com/ovidweb.cgi?T=JS&amp;NEWS=n&amp;CSC=Y&amp;PAGE=booktext&amp;D=books&amp;AN=00139932$&amp;XPATH=/PG(0)&amp;EPUB=Y")</f>
        <v>http://ovidsp.ovid.com/ovidweb.cgi?T=JS&amp;NEWS=n&amp;CSC=Y&amp;PAGE=booktext&amp;D=books&amp;AN=00139932$&amp;XPATH=/PG(0)&amp;EPUB=Y</v>
      </c>
      <c r="G480" t="s">
        <v>2139</v>
      </c>
      <c r="H480" t="s">
        <v>2974</v>
      </c>
      <c r="I480">
        <v>1206726</v>
      </c>
      <c r="J480" t="s">
        <v>3263</v>
      </c>
      <c r="K480" t="s">
        <v>1016</v>
      </c>
    </row>
    <row r="481" spans="1:11" x14ac:dyDescent="0.3">
      <c r="A481" t="s">
        <v>2652</v>
      </c>
      <c r="B481" t="s">
        <v>1567</v>
      </c>
      <c r="C481" t="s">
        <v>2755</v>
      </c>
      <c r="D481" t="s">
        <v>4111</v>
      </c>
      <c r="E481" t="s">
        <v>1104</v>
      </c>
      <c r="F481" s="1" t="str">
        <f>HYPERLINK("http://ovidsp.ovid.com/ovidweb.cgi?T=JS&amp;NEWS=n&amp;CSC=Y&amp;PAGE=booktext&amp;D=books&amp;AN=01337298$&amp;XPATH=/PG(0)&amp;EPUB=Y","http://ovidsp.ovid.com/ovidweb.cgi?T=JS&amp;NEWS=n&amp;CSC=Y&amp;PAGE=booktext&amp;D=books&amp;AN=01337298$&amp;XPATH=/PG(0)&amp;EPUB=Y")</f>
        <v>http://ovidsp.ovid.com/ovidweb.cgi?T=JS&amp;NEWS=n&amp;CSC=Y&amp;PAGE=booktext&amp;D=books&amp;AN=01337298$&amp;XPATH=/PG(0)&amp;EPUB=Y</v>
      </c>
      <c r="G481" t="s">
        <v>2139</v>
      </c>
      <c r="H481" t="s">
        <v>2974</v>
      </c>
      <c r="I481">
        <v>1206726</v>
      </c>
      <c r="J481" t="s">
        <v>3263</v>
      </c>
      <c r="K481" t="s">
        <v>4341</v>
      </c>
    </row>
    <row r="482" spans="1:11" x14ac:dyDescent="0.3">
      <c r="A482" t="s">
        <v>1223</v>
      </c>
      <c r="B482" t="s">
        <v>3204</v>
      </c>
      <c r="C482" t="s">
        <v>4439</v>
      </c>
      <c r="D482" t="s">
        <v>4111</v>
      </c>
      <c r="E482" t="s">
        <v>2223</v>
      </c>
      <c r="F482" s="1" t="str">
        <f>HYPERLINK("http://ovidsp.ovid.com/ovidweb.cgi?T=JS&amp;NEWS=n&amp;CSC=Y&amp;PAGE=booktext&amp;D=books&amp;AN=01437526$&amp;XPATH=/PG(0)&amp;EPUB=Y","http://ovidsp.ovid.com/ovidweb.cgi?T=JS&amp;NEWS=n&amp;CSC=Y&amp;PAGE=booktext&amp;D=books&amp;AN=01437526$&amp;XPATH=/PG(0)&amp;EPUB=Y")</f>
        <v>http://ovidsp.ovid.com/ovidweb.cgi?T=JS&amp;NEWS=n&amp;CSC=Y&amp;PAGE=booktext&amp;D=books&amp;AN=01437526$&amp;XPATH=/PG(0)&amp;EPUB=Y</v>
      </c>
      <c r="G482" t="s">
        <v>2139</v>
      </c>
      <c r="H482" t="s">
        <v>2974</v>
      </c>
      <c r="I482">
        <v>1206726</v>
      </c>
      <c r="J482" t="s">
        <v>3263</v>
      </c>
      <c r="K482" t="s">
        <v>3489</v>
      </c>
    </row>
    <row r="483" spans="1:11" x14ac:dyDescent="0.3">
      <c r="A483" t="s">
        <v>1694</v>
      </c>
      <c r="B483" t="s">
        <v>908</v>
      </c>
      <c r="C483" t="s">
        <v>1865</v>
      </c>
      <c r="D483" t="s">
        <v>4111</v>
      </c>
      <c r="E483" t="s">
        <v>2223</v>
      </c>
      <c r="F483" s="1" t="str">
        <f>HYPERLINK("http://ovidsp.ovid.com/ovidweb.cgi?T=JS&amp;NEWS=n&amp;CSC=Y&amp;PAGE=booktext&amp;D=books&amp;AN=01257011$&amp;XPATH=/PG(0)&amp;EPUB=Y","http://ovidsp.ovid.com/ovidweb.cgi?T=JS&amp;NEWS=n&amp;CSC=Y&amp;PAGE=booktext&amp;D=books&amp;AN=01257011$&amp;XPATH=/PG(0)&amp;EPUB=Y")</f>
        <v>http://ovidsp.ovid.com/ovidweb.cgi?T=JS&amp;NEWS=n&amp;CSC=Y&amp;PAGE=booktext&amp;D=books&amp;AN=01257011$&amp;XPATH=/PG(0)&amp;EPUB=Y</v>
      </c>
      <c r="G483" t="s">
        <v>2139</v>
      </c>
      <c r="H483" t="s">
        <v>2974</v>
      </c>
      <c r="I483">
        <v>1206726</v>
      </c>
      <c r="J483" t="s">
        <v>3263</v>
      </c>
      <c r="K483" t="s">
        <v>954</v>
      </c>
    </row>
    <row r="484" spans="1:11" x14ac:dyDescent="0.3">
      <c r="A484" t="s">
        <v>2430</v>
      </c>
      <c r="B484" t="s">
        <v>3505</v>
      </c>
      <c r="C484" t="s">
        <v>1429</v>
      </c>
      <c r="D484" t="s">
        <v>4111</v>
      </c>
      <c r="E484" t="s">
        <v>1104</v>
      </c>
      <c r="F484" s="1" t="str">
        <f>HYPERLINK("http://ovidsp.ovid.com/ovidweb.cgi?T=JS&amp;NEWS=n&amp;CSC=Y&amp;PAGE=booktext&amp;D=books&amp;AN=01382482$&amp;XPATH=/PG(0)&amp;EPUB=Y","http://ovidsp.ovid.com/ovidweb.cgi?T=JS&amp;NEWS=n&amp;CSC=Y&amp;PAGE=booktext&amp;D=books&amp;AN=01382482$&amp;XPATH=/PG(0)&amp;EPUB=Y")</f>
        <v>http://ovidsp.ovid.com/ovidweb.cgi?T=JS&amp;NEWS=n&amp;CSC=Y&amp;PAGE=booktext&amp;D=books&amp;AN=01382482$&amp;XPATH=/PG(0)&amp;EPUB=Y</v>
      </c>
      <c r="G484" t="s">
        <v>2139</v>
      </c>
      <c r="H484" t="s">
        <v>2974</v>
      </c>
      <c r="I484">
        <v>1206726</v>
      </c>
      <c r="J484" t="s">
        <v>3263</v>
      </c>
      <c r="K484" t="s">
        <v>2518</v>
      </c>
    </row>
    <row r="485" spans="1:11" x14ac:dyDescent="0.3">
      <c r="A485" t="s">
        <v>2545</v>
      </c>
      <c r="B485" t="s">
        <v>2931</v>
      </c>
      <c r="C485" t="s">
        <v>1306</v>
      </c>
      <c r="D485" t="s">
        <v>4111</v>
      </c>
      <c r="E485" t="s">
        <v>404</v>
      </c>
      <c r="F485" s="1" t="str">
        <f>HYPERLINK("http://ovidsp.ovid.com/ovidweb.cgi?T=JS&amp;NEWS=n&amp;CSC=Y&amp;PAGE=booktext&amp;D=books&amp;AN=01436895$&amp;XPATH=/PG(0)&amp;EPUB=Y","http://ovidsp.ovid.com/ovidweb.cgi?T=JS&amp;NEWS=n&amp;CSC=Y&amp;PAGE=booktext&amp;D=books&amp;AN=01436895$&amp;XPATH=/PG(0)&amp;EPUB=Y")</f>
        <v>http://ovidsp.ovid.com/ovidweb.cgi?T=JS&amp;NEWS=n&amp;CSC=Y&amp;PAGE=booktext&amp;D=books&amp;AN=01436895$&amp;XPATH=/PG(0)&amp;EPUB=Y</v>
      </c>
      <c r="G485" t="s">
        <v>2139</v>
      </c>
      <c r="H485" t="s">
        <v>2974</v>
      </c>
      <c r="I485">
        <v>1206726</v>
      </c>
      <c r="J485" t="s">
        <v>3263</v>
      </c>
      <c r="K485" t="s">
        <v>1051</v>
      </c>
    </row>
    <row r="486" spans="1:11" x14ac:dyDescent="0.3">
      <c r="A486" t="s">
        <v>2145</v>
      </c>
      <c r="B486" t="s">
        <v>2514</v>
      </c>
      <c r="C486" t="s">
        <v>2750</v>
      </c>
      <c r="D486" t="s">
        <v>4111</v>
      </c>
      <c r="E486" t="s">
        <v>404</v>
      </c>
      <c r="F486" s="1" t="str">
        <f>HYPERLINK("http://ovidsp.ovid.com/ovidweb.cgi?T=JS&amp;NEWS=n&amp;CSC=Y&amp;PAGE=booktext&amp;D=books&amp;AN=01324480$&amp;XPATH=/PG(0)&amp;EPUB=Y","http://ovidsp.ovid.com/ovidweb.cgi?T=JS&amp;NEWS=n&amp;CSC=Y&amp;PAGE=booktext&amp;D=books&amp;AN=01324480$&amp;XPATH=/PG(0)&amp;EPUB=Y")</f>
        <v>http://ovidsp.ovid.com/ovidweb.cgi?T=JS&amp;NEWS=n&amp;CSC=Y&amp;PAGE=booktext&amp;D=books&amp;AN=01324480$&amp;XPATH=/PG(0)&amp;EPUB=Y</v>
      </c>
      <c r="G486" t="s">
        <v>2139</v>
      </c>
      <c r="H486" t="s">
        <v>2974</v>
      </c>
      <c r="I486">
        <v>1206726</v>
      </c>
      <c r="J486" t="s">
        <v>3263</v>
      </c>
      <c r="K486" t="s">
        <v>3531</v>
      </c>
    </row>
    <row r="487" spans="1:11" x14ac:dyDescent="0.3">
      <c r="A487" t="s">
        <v>1067</v>
      </c>
      <c r="B487" t="s">
        <v>2242</v>
      </c>
      <c r="C487" t="s">
        <v>4117</v>
      </c>
      <c r="D487" t="s">
        <v>4111</v>
      </c>
      <c r="E487" t="s">
        <v>404</v>
      </c>
      <c r="F487" s="1" t="str">
        <f>HYPERLINK("http://ovidsp.ovid.com/ovidweb.cgi?T=JS&amp;NEWS=n&amp;CSC=Y&amp;PAGE=booktext&amp;D=books&amp;AN=01337668$&amp;XPATH=/PG(0)&amp;EPUB=Y","http://ovidsp.ovid.com/ovidweb.cgi?T=JS&amp;NEWS=n&amp;CSC=Y&amp;PAGE=booktext&amp;D=books&amp;AN=01337668$&amp;XPATH=/PG(0)&amp;EPUB=Y")</f>
        <v>http://ovidsp.ovid.com/ovidweb.cgi?T=JS&amp;NEWS=n&amp;CSC=Y&amp;PAGE=booktext&amp;D=books&amp;AN=01337668$&amp;XPATH=/PG(0)&amp;EPUB=Y</v>
      </c>
      <c r="G487" t="s">
        <v>2139</v>
      </c>
      <c r="H487" t="s">
        <v>2974</v>
      </c>
      <c r="I487">
        <v>1206726</v>
      </c>
      <c r="J487" t="s">
        <v>3263</v>
      </c>
      <c r="K487" t="s">
        <v>4327</v>
      </c>
    </row>
    <row r="488" spans="1:11" x14ac:dyDescent="0.3">
      <c r="A488" t="s">
        <v>433</v>
      </c>
      <c r="B488" t="s">
        <v>1116</v>
      </c>
      <c r="C488" t="s">
        <v>2561</v>
      </c>
      <c r="D488" t="s">
        <v>4111</v>
      </c>
      <c r="E488" t="s">
        <v>2223</v>
      </c>
      <c r="F488" s="1" t="str">
        <f>HYPERLINK("http://ovidsp.ovid.com/ovidweb.cgi?T=JS&amp;NEWS=n&amp;CSC=Y&amp;PAGE=booktext&amp;D=books&amp;AN=01382875$&amp;XPATH=/PG(0)&amp;EPUB=Y","http://ovidsp.ovid.com/ovidweb.cgi?T=JS&amp;NEWS=n&amp;CSC=Y&amp;PAGE=booktext&amp;D=books&amp;AN=01382875$&amp;XPATH=/PG(0)&amp;EPUB=Y")</f>
        <v>http://ovidsp.ovid.com/ovidweb.cgi?T=JS&amp;NEWS=n&amp;CSC=Y&amp;PAGE=booktext&amp;D=books&amp;AN=01382875$&amp;XPATH=/PG(0)&amp;EPUB=Y</v>
      </c>
      <c r="G488" t="s">
        <v>2139</v>
      </c>
      <c r="H488" t="s">
        <v>2974</v>
      </c>
      <c r="I488">
        <v>1206726</v>
      </c>
      <c r="J488" t="s">
        <v>3263</v>
      </c>
      <c r="K488" t="s">
        <v>4159</v>
      </c>
    </row>
    <row r="489" spans="1:11" x14ac:dyDescent="0.3">
      <c r="A489" t="s">
        <v>3159</v>
      </c>
      <c r="B489" t="s">
        <v>2151</v>
      </c>
      <c r="C489" t="s">
        <v>1406</v>
      </c>
      <c r="D489" t="s">
        <v>4111</v>
      </c>
      <c r="E489" t="s">
        <v>404</v>
      </c>
      <c r="F489" s="1" t="str">
        <f>HYPERLINK("http://ovidsp.ovid.com/ovidweb.cgi?T=JS&amp;NEWS=n&amp;CSC=Y&amp;PAGE=booktext&amp;D=books&amp;AN=01436897$&amp;XPATH=/PG(0)&amp;EPUB=Y","http://ovidsp.ovid.com/ovidweb.cgi?T=JS&amp;NEWS=n&amp;CSC=Y&amp;PAGE=booktext&amp;D=books&amp;AN=01436897$&amp;XPATH=/PG(0)&amp;EPUB=Y")</f>
        <v>http://ovidsp.ovid.com/ovidweb.cgi?T=JS&amp;NEWS=n&amp;CSC=Y&amp;PAGE=booktext&amp;D=books&amp;AN=01436897$&amp;XPATH=/PG(0)&amp;EPUB=Y</v>
      </c>
      <c r="G489" t="s">
        <v>2139</v>
      </c>
      <c r="H489" t="s">
        <v>2974</v>
      </c>
      <c r="I489">
        <v>1206726</v>
      </c>
      <c r="J489" t="s">
        <v>3263</v>
      </c>
      <c r="K489" t="s">
        <v>3668</v>
      </c>
    </row>
    <row r="490" spans="1:11" x14ac:dyDescent="0.3">
      <c r="A490" t="s">
        <v>2394</v>
      </c>
      <c r="B490" t="s">
        <v>3725</v>
      </c>
      <c r="C490" t="s">
        <v>2682</v>
      </c>
      <c r="D490" t="s">
        <v>4111</v>
      </c>
      <c r="E490" t="s">
        <v>2876</v>
      </c>
      <c r="F490" s="1" t="str">
        <f>HYPERLINK("http://ovidsp.ovid.com/ovidweb.cgi?T=JS&amp;NEWS=n&amp;CSC=Y&amp;PAGE=booktext&amp;D=books&amp;AN=01222997$&amp;XPATH=/PG(0)&amp;EPUB=Y","http://ovidsp.ovid.com/ovidweb.cgi?T=JS&amp;NEWS=n&amp;CSC=Y&amp;PAGE=booktext&amp;D=books&amp;AN=01222997$&amp;XPATH=/PG(0)&amp;EPUB=Y")</f>
        <v>http://ovidsp.ovid.com/ovidweb.cgi?T=JS&amp;NEWS=n&amp;CSC=Y&amp;PAGE=booktext&amp;D=books&amp;AN=01222997$&amp;XPATH=/PG(0)&amp;EPUB=Y</v>
      </c>
      <c r="G490" t="s">
        <v>2139</v>
      </c>
      <c r="H490" t="s">
        <v>2974</v>
      </c>
      <c r="I490">
        <v>1206726</v>
      </c>
      <c r="J490" t="s">
        <v>3263</v>
      </c>
      <c r="K490" t="s">
        <v>4194</v>
      </c>
    </row>
    <row r="491" spans="1:11" x14ac:dyDescent="0.3">
      <c r="A491" t="s">
        <v>1403</v>
      </c>
      <c r="B491" t="s">
        <v>948</v>
      </c>
      <c r="C491" t="s">
        <v>4272</v>
      </c>
      <c r="D491" t="s">
        <v>694</v>
      </c>
      <c r="E491" t="s">
        <v>3051</v>
      </c>
      <c r="F491" s="1" t="str">
        <f>HYPERLINK("http://ovidsp.ovid.com/ovidweb.cgi?T=JS&amp;NEWS=n&amp;CSC=Y&amp;PAGE=booktext&amp;D=books&amp;AN=01257012$&amp;XPATH=/PG(0)&amp;EPUB=Y","http://ovidsp.ovid.com/ovidweb.cgi?T=JS&amp;NEWS=n&amp;CSC=Y&amp;PAGE=booktext&amp;D=books&amp;AN=01257012$&amp;XPATH=/PG(0)&amp;EPUB=Y")</f>
        <v>http://ovidsp.ovid.com/ovidweb.cgi?T=JS&amp;NEWS=n&amp;CSC=Y&amp;PAGE=booktext&amp;D=books&amp;AN=01257012$&amp;XPATH=/PG(0)&amp;EPUB=Y</v>
      </c>
      <c r="G491" t="s">
        <v>2139</v>
      </c>
      <c r="H491" t="s">
        <v>2974</v>
      </c>
      <c r="I491">
        <v>1206726</v>
      </c>
      <c r="J491" t="s">
        <v>3263</v>
      </c>
      <c r="K491" t="s">
        <v>2525</v>
      </c>
    </row>
    <row r="492" spans="1:11" x14ac:dyDescent="0.3">
      <c r="A492" t="s">
        <v>399</v>
      </c>
      <c r="B492" t="s">
        <v>2415</v>
      </c>
      <c r="C492" t="s">
        <v>2875</v>
      </c>
      <c r="D492" t="s">
        <v>4111</v>
      </c>
      <c r="E492" t="s">
        <v>3387</v>
      </c>
      <c r="F492" s="1" t="str">
        <f>HYPERLINK("http://ovidsp.ovid.com/ovidweb.cgi?T=JS&amp;NEWS=n&amp;CSC=Y&amp;PAGE=booktext&amp;D=books&amp;AN=01257013$&amp;XPATH=/PG(0)&amp;EPUB=Y","http://ovidsp.ovid.com/ovidweb.cgi?T=JS&amp;NEWS=n&amp;CSC=Y&amp;PAGE=booktext&amp;D=books&amp;AN=01257013$&amp;XPATH=/PG(0)&amp;EPUB=Y")</f>
        <v>http://ovidsp.ovid.com/ovidweb.cgi?T=JS&amp;NEWS=n&amp;CSC=Y&amp;PAGE=booktext&amp;D=books&amp;AN=01257013$&amp;XPATH=/PG(0)&amp;EPUB=Y</v>
      </c>
      <c r="G492" t="s">
        <v>2139</v>
      </c>
      <c r="H492" t="s">
        <v>2974</v>
      </c>
      <c r="I492">
        <v>1206726</v>
      </c>
      <c r="J492" t="s">
        <v>3263</v>
      </c>
      <c r="K492" t="s">
        <v>2018</v>
      </c>
    </row>
    <row r="493" spans="1:11" x14ac:dyDescent="0.3">
      <c r="A493" t="s">
        <v>4420</v>
      </c>
      <c r="B493" t="s">
        <v>2161</v>
      </c>
      <c r="C493" t="s">
        <v>2554</v>
      </c>
      <c r="D493" t="s">
        <v>4111</v>
      </c>
      <c r="E493" t="s">
        <v>3051</v>
      </c>
      <c r="F493" s="1" t="str">
        <f>HYPERLINK("http://ovidsp.ovid.com/ovidweb.cgi?T=JS&amp;NEWS=n&amp;CSC=Y&amp;PAGE=booktext&amp;D=books&amp;AN=01394393$&amp;XPATH=/PG(0)&amp;EPUB=Y","http://ovidsp.ovid.com/ovidweb.cgi?T=JS&amp;NEWS=n&amp;CSC=Y&amp;PAGE=booktext&amp;D=books&amp;AN=01394393$&amp;XPATH=/PG(0)&amp;EPUB=Y")</f>
        <v>http://ovidsp.ovid.com/ovidweb.cgi?T=JS&amp;NEWS=n&amp;CSC=Y&amp;PAGE=booktext&amp;D=books&amp;AN=01394393$&amp;XPATH=/PG(0)&amp;EPUB=Y</v>
      </c>
      <c r="G493" t="s">
        <v>2139</v>
      </c>
      <c r="H493" t="s">
        <v>2974</v>
      </c>
      <c r="I493">
        <v>1206726</v>
      </c>
      <c r="J493" t="s">
        <v>3263</v>
      </c>
      <c r="K493" t="s">
        <v>2725</v>
      </c>
    </row>
    <row r="494" spans="1:11" x14ac:dyDescent="0.3">
      <c r="A494" t="s">
        <v>2600</v>
      </c>
      <c r="B494" t="s">
        <v>3148</v>
      </c>
      <c r="C494" t="s">
        <v>4059</v>
      </c>
      <c r="D494" t="s">
        <v>4111</v>
      </c>
      <c r="E494" t="s">
        <v>1104</v>
      </c>
      <c r="F494" s="1" t="str">
        <f>HYPERLINK("http://ovidsp.ovid.com/ovidweb.cgi?T=JS&amp;NEWS=n&amp;CSC=Y&amp;PAGE=booktext&amp;D=books&amp;AN=00139933$&amp;XPATH=/PG(0)&amp;EPUB=Y","http://ovidsp.ovid.com/ovidweb.cgi?T=JS&amp;NEWS=n&amp;CSC=Y&amp;PAGE=booktext&amp;D=books&amp;AN=00139933$&amp;XPATH=/PG(0)&amp;EPUB=Y")</f>
        <v>http://ovidsp.ovid.com/ovidweb.cgi?T=JS&amp;NEWS=n&amp;CSC=Y&amp;PAGE=booktext&amp;D=books&amp;AN=00139933$&amp;XPATH=/PG(0)&amp;EPUB=Y</v>
      </c>
      <c r="G494" t="s">
        <v>2139</v>
      </c>
      <c r="H494" t="s">
        <v>2974</v>
      </c>
      <c r="I494">
        <v>1206726</v>
      </c>
      <c r="J494" t="s">
        <v>3263</v>
      </c>
      <c r="K494" t="s">
        <v>2434</v>
      </c>
    </row>
    <row r="495" spans="1:11" x14ac:dyDescent="0.3">
      <c r="A495" t="s">
        <v>2979</v>
      </c>
      <c r="B495" t="s">
        <v>4119</v>
      </c>
      <c r="C495" t="s">
        <v>347</v>
      </c>
      <c r="D495" t="s">
        <v>4111</v>
      </c>
      <c r="E495" t="s">
        <v>1104</v>
      </c>
      <c r="F495" s="1" t="str">
        <f>HYPERLINK("http://ovidsp.ovid.com/ovidweb.cgi?T=JS&amp;NEWS=n&amp;CSC=Y&amp;PAGE=booktext&amp;D=books&amp;AN=01435758$&amp;XPATH=/PG(0)&amp;EPUB=Y","http://ovidsp.ovid.com/ovidweb.cgi?T=JS&amp;NEWS=n&amp;CSC=Y&amp;PAGE=booktext&amp;D=books&amp;AN=01435758$&amp;XPATH=/PG(0)&amp;EPUB=Y")</f>
        <v>http://ovidsp.ovid.com/ovidweb.cgi?T=JS&amp;NEWS=n&amp;CSC=Y&amp;PAGE=booktext&amp;D=books&amp;AN=01435758$&amp;XPATH=/PG(0)&amp;EPUB=Y</v>
      </c>
      <c r="G495" t="s">
        <v>2139</v>
      </c>
      <c r="H495" t="s">
        <v>2974</v>
      </c>
      <c r="I495">
        <v>1206726</v>
      </c>
      <c r="J495" t="s">
        <v>3263</v>
      </c>
      <c r="K495" t="s">
        <v>2431</v>
      </c>
    </row>
    <row r="496" spans="1:11" x14ac:dyDescent="0.3">
      <c r="A496" t="s">
        <v>873</v>
      </c>
      <c r="B496" t="s">
        <v>2310</v>
      </c>
      <c r="C496" t="s">
        <v>3519</v>
      </c>
      <c r="D496" t="s">
        <v>4111</v>
      </c>
      <c r="E496" t="s">
        <v>1104</v>
      </c>
      <c r="F496" s="1" t="str">
        <f>HYPERLINK("http://ovidsp.ovid.com/ovidweb.cgi?T=JS&amp;NEWS=n&amp;CSC=Y&amp;PAGE=booktext&amp;D=books&amp;AN=01257016$&amp;XPATH=/PG(0)&amp;EPUB=Y","http://ovidsp.ovid.com/ovidweb.cgi?T=JS&amp;NEWS=n&amp;CSC=Y&amp;PAGE=booktext&amp;D=books&amp;AN=01257016$&amp;XPATH=/PG(0)&amp;EPUB=Y")</f>
        <v>http://ovidsp.ovid.com/ovidweb.cgi?T=JS&amp;NEWS=n&amp;CSC=Y&amp;PAGE=booktext&amp;D=books&amp;AN=01257016$&amp;XPATH=/PG(0)&amp;EPUB=Y</v>
      </c>
      <c r="G496" t="s">
        <v>2139</v>
      </c>
      <c r="H496" t="s">
        <v>2974</v>
      </c>
      <c r="I496">
        <v>1206726</v>
      </c>
      <c r="J496" t="s">
        <v>3263</v>
      </c>
      <c r="K496" t="s">
        <v>3873</v>
      </c>
    </row>
    <row r="497" spans="1:11" x14ac:dyDescent="0.3">
      <c r="A497" t="s">
        <v>873</v>
      </c>
      <c r="B497" t="s">
        <v>3314</v>
      </c>
      <c r="C497" t="s">
        <v>2493</v>
      </c>
      <c r="D497" t="s">
        <v>4111</v>
      </c>
      <c r="E497" t="s">
        <v>3051</v>
      </c>
      <c r="F497" s="1" t="str">
        <f>HYPERLINK("http://ovidsp.ovid.com/ovidweb.cgi?T=JS&amp;NEWS=n&amp;CSC=Y&amp;PAGE=booktext&amp;D=books&amp;AN=01641757$&amp;XPATH=/PG(0)&amp;EPUB=Y","http://ovidsp.ovid.com/ovidweb.cgi?T=JS&amp;NEWS=n&amp;CSC=Y&amp;PAGE=booktext&amp;D=books&amp;AN=01641757$&amp;XPATH=/PG(0)&amp;EPUB=Y")</f>
        <v>http://ovidsp.ovid.com/ovidweb.cgi?T=JS&amp;NEWS=n&amp;CSC=Y&amp;PAGE=booktext&amp;D=books&amp;AN=01641757$&amp;XPATH=/PG(0)&amp;EPUB=Y</v>
      </c>
      <c r="G497" t="s">
        <v>2139</v>
      </c>
      <c r="H497" t="s">
        <v>2974</v>
      </c>
      <c r="I497">
        <v>1206726</v>
      </c>
      <c r="J497" t="s">
        <v>3263</v>
      </c>
      <c r="K497" t="s">
        <v>4686</v>
      </c>
    </row>
    <row r="498" spans="1:11" x14ac:dyDescent="0.3">
      <c r="A498" t="s">
        <v>1494</v>
      </c>
      <c r="B498" t="s">
        <v>3658</v>
      </c>
      <c r="C498" t="s">
        <v>478</v>
      </c>
      <c r="D498" t="s">
        <v>4111</v>
      </c>
      <c r="E498" t="s">
        <v>404</v>
      </c>
      <c r="F498" s="1" t="str">
        <f>HYPERLINK("http://ovidsp.ovid.com/ovidweb.cgi?T=JS&amp;NEWS=n&amp;CSC=Y&amp;PAGE=booktext&amp;D=books&amp;AN=01276485$&amp;XPATH=/PG(0)&amp;EPUB=Y","http://ovidsp.ovid.com/ovidweb.cgi?T=JS&amp;NEWS=n&amp;CSC=Y&amp;PAGE=booktext&amp;D=books&amp;AN=01276485$&amp;XPATH=/PG(0)&amp;EPUB=Y")</f>
        <v>http://ovidsp.ovid.com/ovidweb.cgi?T=JS&amp;NEWS=n&amp;CSC=Y&amp;PAGE=booktext&amp;D=books&amp;AN=01276485$&amp;XPATH=/PG(0)&amp;EPUB=Y</v>
      </c>
      <c r="G498" t="s">
        <v>2139</v>
      </c>
      <c r="H498" t="s">
        <v>2974</v>
      </c>
      <c r="I498">
        <v>1206726</v>
      </c>
      <c r="J498" t="s">
        <v>3263</v>
      </c>
      <c r="K498" t="s">
        <v>613</v>
      </c>
    </row>
    <row r="499" spans="1:11" x14ac:dyDescent="0.3">
      <c r="A499" t="s">
        <v>1681</v>
      </c>
      <c r="B499" t="s">
        <v>1431</v>
      </c>
      <c r="C499" t="s">
        <v>3470</v>
      </c>
      <c r="D499" t="s">
        <v>4111</v>
      </c>
      <c r="E499" t="s">
        <v>1104</v>
      </c>
      <c r="F499" s="1" t="str">
        <f>HYPERLINK("http://ovidsp.ovid.com/ovidweb.cgi?T=JS&amp;NEWS=n&amp;CSC=Y&amp;PAGE=booktext&amp;D=books&amp;AN=01222998$&amp;XPATH=/PG(0)&amp;EPUB=Y","http://ovidsp.ovid.com/ovidweb.cgi?T=JS&amp;NEWS=n&amp;CSC=Y&amp;PAGE=booktext&amp;D=books&amp;AN=01222998$&amp;XPATH=/PG(0)&amp;EPUB=Y")</f>
        <v>http://ovidsp.ovid.com/ovidweb.cgi?T=JS&amp;NEWS=n&amp;CSC=Y&amp;PAGE=booktext&amp;D=books&amp;AN=01222998$&amp;XPATH=/PG(0)&amp;EPUB=Y</v>
      </c>
      <c r="G499" t="s">
        <v>2139</v>
      </c>
      <c r="H499" t="s">
        <v>2974</v>
      </c>
      <c r="I499">
        <v>1206726</v>
      </c>
      <c r="J499" t="s">
        <v>3263</v>
      </c>
      <c r="K499" t="s">
        <v>565</v>
      </c>
    </row>
    <row r="500" spans="1:11" x14ac:dyDescent="0.3">
      <c r="A500" t="s">
        <v>4104</v>
      </c>
      <c r="B500" t="s">
        <v>4230</v>
      </c>
      <c r="C500" t="s">
        <v>4290</v>
      </c>
      <c r="D500" t="s">
        <v>4111</v>
      </c>
      <c r="E500" t="s">
        <v>2223</v>
      </c>
      <c r="F500" s="1" t="str">
        <f>HYPERLINK("http://ovidsp.ovid.com/ovidweb.cgi?T=JS&amp;NEWS=n&amp;CSC=Y&amp;PAGE=booktext&amp;D=books&amp;AN=01279767$&amp;XPATH=/PG(0)&amp;EPUB=Y","http://ovidsp.ovid.com/ovidweb.cgi?T=JS&amp;NEWS=n&amp;CSC=Y&amp;PAGE=booktext&amp;D=books&amp;AN=01279767$&amp;XPATH=/PG(0)&amp;EPUB=Y")</f>
        <v>http://ovidsp.ovid.com/ovidweb.cgi?T=JS&amp;NEWS=n&amp;CSC=Y&amp;PAGE=booktext&amp;D=books&amp;AN=01279767$&amp;XPATH=/PG(0)&amp;EPUB=Y</v>
      </c>
      <c r="G500" t="s">
        <v>2139</v>
      </c>
      <c r="H500" t="s">
        <v>2974</v>
      </c>
      <c r="I500">
        <v>1206726</v>
      </c>
      <c r="J500" t="s">
        <v>3263</v>
      </c>
      <c r="K500" t="s">
        <v>25</v>
      </c>
    </row>
    <row r="501" spans="1:11" x14ac:dyDescent="0.3">
      <c r="A501" t="s">
        <v>436</v>
      </c>
      <c r="B501" t="s">
        <v>303</v>
      </c>
      <c r="C501" t="s">
        <v>2896</v>
      </c>
      <c r="D501" t="s">
        <v>4111</v>
      </c>
      <c r="E501" t="s">
        <v>2876</v>
      </c>
      <c r="F501" s="1" t="str">
        <f>HYPERLINK("http://ovidsp.ovid.com/ovidweb.cgi?T=JS&amp;NEWS=n&amp;CSC=Y&amp;PAGE=booktext&amp;D=books&amp;AN=01250445$&amp;XPATH=/PG(0)&amp;EPUB=Y","http://ovidsp.ovid.com/ovidweb.cgi?T=JS&amp;NEWS=n&amp;CSC=Y&amp;PAGE=booktext&amp;D=books&amp;AN=01250445$&amp;XPATH=/PG(0)&amp;EPUB=Y")</f>
        <v>http://ovidsp.ovid.com/ovidweb.cgi?T=JS&amp;NEWS=n&amp;CSC=Y&amp;PAGE=booktext&amp;D=books&amp;AN=01250445$&amp;XPATH=/PG(0)&amp;EPUB=Y</v>
      </c>
      <c r="G501" t="s">
        <v>2139</v>
      </c>
      <c r="H501" t="s">
        <v>2974</v>
      </c>
      <c r="I501">
        <v>1206726</v>
      </c>
      <c r="J501" t="s">
        <v>3263</v>
      </c>
      <c r="K501" t="s">
        <v>3586</v>
      </c>
    </row>
    <row r="502" spans="1:11" x14ac:dyDescent="0.3">
      <c r="A502" t="s">
        <v>33</v>
      </c>
      <c r="B502" t="s">
        <v>396</v>
      </c>
      <c r="C502" t="s">
        <v>3332</v>
      </c>
      <c r="D502" t="s">
        <v>4111</v>
      </c>
      <c r="E502" t="s">
        <v>404</v>
      </c>
      <c r="F502" s="1" t="str">
        <f>HYPERLINK("http://ovidsp.ovid.com/ovidweb.cgi?T=JS&amp;NEWS=n&amp;CSC=Y&amp;PAGE=booktext&amp;D=books&amp;AN=00139934$&amp;XPATH=/PG(0)&amp;EPUB=Y","http://ovidsp.ovid.com/ovidweb.cgi?T=JS&amp;NEWS=n&amp;CSC=Y&amp;PAGE=booktext&amp;D=books&amp;AN=00139934$&amp;XPATH=/PG(0)&amp;EPUB=Y")</f>
        <v>http://ovidsp.ovid.com/ovidweb.cgi?T=JS&amp;NEWS=n&amp;CSC=Y&amp;PAGE=booktext&amp;D=books&amp;AN=00139934$&amp;XPATH=/PG(0)&amp;EPUB=Y</v>
      </c>
      <c r="G502" t="s">
        <v>2139</v>
      </c>
      <c r="H502" t="s">
        <v>2974</v>
      </c>
      <c r="I502">
        <v>1206726</v>
      </c>
      <c r="J502" t="s">
        <v>3263</v>
      </c>
      <c r="K502" t="s">
        <v>1900</v>
      </c>
    </row>
    <row r="503" spans="1:11" x14ac:dyDescent="0.3">
      <c r="A503" t="s">
        <v>498</v>
      </c>
      <c r="B503" t="s">
        <v>1935</v>
      </c>
      <c r="C503" t="s">
        <v>2417</v>
      </c>
      <c r="D503" t="s">
        <v>4111</v>
      </c>
      <c r="E503" t="s">
        <v>404</v>
      </c>
      <c r="F503" s="1" t="str">
        <f>HYPERLINK("http://ovidsp.ovid.com/ovidweb.cgi?T=JS&amp;NEWS=n&amp;CSC=Y&amp;PAGE=booktext&amp;D=books&amp;AN=01279717$&amp;XPATH=/PG(0)&amp;EPUB=Y","http://ovidsp.ovid.com/ovidweb.cgi?T=JS&amp;NEWS=n&amp;CSC=Y&amp;PAGE=booktext&amp;D=books&amp;AN=01279717$&amp;XPATH=/PG(0)&amp;EPUB=Y")</f>
        <v>http://ovidsp.ovid.com/ovidweb.cgi?T=JS&amp;NEWS=n&amp;CSC=Y&amp;PAGE=booktext&amp;D=books&amp;AN=01279717$&amp;XPATH=/PG(0)&amp;EPUB=Y</v>
      </c>
      <c r="G503" t="s">
        <v>2139</v>
      </c>
      <c r="H503" t="s">
        <v>2974</v>
      </c>
      <c r="I503">
        <v>1206726</v>
      </c>
      <c r="J503" t="s">
        <v>3263</v>
      </c>
      <c r="K503" t="s">
        <v>2648</v>
      </c>
    </row>
    <row r="504" spans="1:11" x14ac:dyDescent="0.3">
      <c r="A504" t="s">
        <v>2205</v>
      </c>
      <c r="B504" t="s">
        <v>2318</v>
      </c>
      <c r="C504" t="s">
        <v>687</v>
      </c>
      <c r="D504" t="s">
        <v>4111</v>
      </c>
      <c r="E504" t="s">
        <v>2223</v>
      </c>
      <c r="F504" s="1" t="str">
        <f>HYPERLINK("http://ovidsp.ovid.com/ovidweb.cgi?T=JS&amp;NEWS=n&amp;CSC=Y&amp;PAGE=booktext&amp;D=books&amp;AN=01437529$&amp;XPATH=/PG(0)&amp;EPUB=Y","http://ovidsp.ovid.com/ovidweb.cgi?T=JS&amp;NEWS=n&amp;CSC=Y&amp;PAGE=booktext&amp;D=books&amp;AN=01437529$&amp;XPATH=/PG(0)&amp;EPUB=Y")</f>
        <v>http://ovidsp.ovid.com/ovidweb.cgi?T=JS&amp;NEWS=n&amp;CSC=Y&amp;PAGE=booktext&amp;D=books&amp;AN=01437529$&amp;XPATH=/PG(0)&amp;EPUB=Y</v>
      </c>
      <c r="G504" t="s">
        <v>2139</v>
      </c>
      <c r="H504" t="s">
        <v>2974</v>
      </c>
      <c r="I504">
        <v>1206726</v>
      </c>
      <c r="J504" t="s">
        <v>3263</v>
      </c>
      <c r="K504" t="s">
        <v>4383</v>
      </c>
    </row>
    <row r="505" spans="1:11" x14ac:dyDescent="0.3">
      <c r="A505" t="s">
        <v>3123</v>
      </c>
      <c r="B505" t="s">
        <v>3874</v>
      </c>
      <c r="C505" t="s">
        <v>1709</v>
      </c>
      <c r="D505" t="s">
        <v>2191</v>
      </c>
      <c r="E505" t="s">
        <v>1104</v>
      </c>
      <c r="F505" s="1" t="str">
        <f>HYPERLINK("http://ovidsp.ovid.com/ovidweb.cgi?T=JS&amp;NEWS=n&amp;CSC=Y&amp;PAGE=booktext&amp;D=books&amp;AN=01253101$&amp;XPATH=/PG(0)&amp;EPUB=Y","http://ovidsp.ovid.com/ovidweb.cgi?T=JS&amp;NEWS=n&amp;CSC=Y&amp;PAGE=booktext&amp;D=books&amp;AN=01253101$&amp;XPATH=/PG(0)&amp;EPUB=Y")</f>
        <v>http://ovidsp.ovid.com/ovidweb.cgi?T=JS&amp;NEWS=n&amp;CSC=Y&amp;PAGE=booktext&amp;D=books&amp;AN=01253101$&amp;XPATH=/PG(0)&amp;EPUB=Y</v>
      </c>
      <c r="G505" t="s">
        <v>2139</v>
      </c>
      <c r="H505" t="s">
        <v>2974</v>
      </c>
      <c r="I505">
        <v>1206726</v>
      </c>
      <c r="J505" t="s">
        <v>3263</v>
      </c>
      <c r="K505" t="s">
        <v>1172</v>
      </c>
    </row>
    <row r="506" spans="1:11" x14ac:dyDescent="0.3">
      <c r="A506" t="s">
        <v>4597</v>
      </c>
      <c r="B506" t="s">
        <v>1154</v>
      </c>
      <c r="C506" t="s">
        <v>4487</v>
      </c>
      <c r="D506" t="s">
        <v>4111</v>
      </c>
      <c r="E506" t="s">
        <v>3051</v>
      </c>
      <c r="F506" s="1" t="str">
        <f>HYPERLINK("http://ovidsp.ovid.com/ovidweb.cgi?T=JS&amp;NEWS=n&amp;CSC=Y&amp;PAGE=booktext&amp;D=books&amp;AN=01312098$&amp;XPATH=/PG(0)&amp;EPUB=Y","http://ovidsp.ovid.com/ovidweb.cgi?T=JS&amp;NEWS=n&amp;CSC=Y&amp;PAGE=booktext&amp;D=books&amp;AN=01312098$&amp;XPATH=/PG(0)&amp;EPUB=Y")</f>
        <v>http://ovidsp.ovid.com/ovidweb.cgi?T=JS&amp;NEWS=n&amp;CSC=Y&amp;PAGE=booktext&amp;D=books&amp;AN=01312098$&amp;XPATH=/PG(0)&amp;EPUB=Y</v>
      </c>
      <c r="G506" t="s">
        <v>2139</v>
      </c>
      <c r="H506" t="s">
        <v>2974</v>
      </c>
      <c r="I506">
        <v>1206726</v>
      </c>
      <c r="J506" t="s">
        <v>3263</v>
      </c>
      <c r="K506" t="s">
        <v>2794</v>
      </c>
    </row>
    <row r="507" spans="1:11" x14ac:dyDescent="0.3">
      <c r="A507" t="s">
        <v>413</v>
      </c>
      <c r="B507" t="s">
        <v>2384</v>
      </c>
      <c r="C507" t="s">
        <v>97</v>
      </c>
      <c r="D507" t="s">
        <v>4111</v>
      </c>
      <c r="E507" t="s">
        <v>2223</v>
      </c>
      <c r="F507" s="1" t="str">
        <f>HYPERLINK("http://ovidsp.ovid.com/ovidweb.cgi?T=JS&amp;NEWS=n&amp;CSC=Y&amp;PAGE=booktext&amp;D=books&amp;AN=01382571$&amp;XPATH=/PG(0)&amp;EPUB=Y","http://ovidsp.ovid.com/ovidweb.cgi?T=JS&amp;NEWS=n&amp;CSC=Y&amp;PAGE=booktext&amp;D=books&amp;AN=01382571$&amp;XPATH=/PG(0)&amp;EPUB=Y")</f>
        <v>http://ovidsp.ovid.com/ovidweb.cgi?T=JS&amp;NEWS=n&amp;CSC=Y&amp;PAGE=booktext&amp;D=books&amp;AN=01382571$&amp;XPATH=/PG(0)&amp;EPUB=Y</v>
      </c>
      <c r="G507" t="s">
        <v>2139</v>
      </c>
      <c r="H507" t="s">
        <v>2974</v>
      </c>
      <c r="I507">
        <v>1206726</v>
      </c>
      <c r="J507" t="s">
        <v>3263</v>
      </c>
      <c r="K507" t="s">
        <v>2098</v>
      </c>
    </row>
    <row r="508" spans="1:11" x14ac:dyDescent="0.3">
      <c r="A508" t="s">
        <v>608</v>
      </c>
      <c r="B508" t="s">
        <v>3967</v>
      </c>
      <c r="C508" t="s">
        <v>4086</v>
      </c>
      <c r="D508" t="s">
        <v>4111</v>
      </c>
      <c r="E508" t="s">
        <v>1104</v>
      </c>
      <c r="F508" s="1" t="str">
        <f>HYPERLINK("http://ovidsp.ovid.com/ovidweb.cgi?T=JS&amp;NEWS=n&amp;CSC=Y&amp;PAGE=booktext&amp;D=books&amp;AN=01279706$&amp;XPATH=/PG(0)&amp;EPUB=Y","http://ovidsp.ovid.com/ovidweb.cgi?T=JS&amp;NEWS=n&amp;CSC=Y&amp;PAGE=booktext&amp;D=books&amp;AN=01279706$&amp;XPATH=/PG(0)&amp;EPUB=Y")</f>
        <v>http://ovidsp.ovid.com/ovidweb.cgi?T=JS&amp;NEWS=n&amp;CSC=Y&amp;PAGE=booktext&amp;D=books&amp;AN=01279706$&amp;XPATH=/PG(0)&amp;EPUB=Y</v>
      </c>
      <c r="G508" t="s">
        <v>2139</v>
      </c>
      <c r="H508" t="s">
        <v>2974</v>
      </c>
      <c r="I508">
        <v>1206726</v>
      </c>
      <c r="J508" t="s">
        <v>3263</v>
      </c>
      <c r="K508" t="s">
        <v>2933</v>
      </c>
    </row>
    <row r="509" spans="1:11" x14ac:dyDescent="0.3">
      <c r="A509" t="s">
        <v>2775</v>
      </c>
      <c r="B509" t="s">
        <v>3167</v>
      </c>
      <c r="C509" t="s">
        <v>4468</v>
      </c>
      <c r="D509" t="s">
        <v>4111</v>
      </c>
      <c r="E509" t="s">
        <v>3051</v>
      </c>
      <c r="F509" s="1" t="str">
        <f>HYPERLINK("http://ovidsp.ovid.com/ovidweb.cgi?T=JS&amp;NEWS=n&amp;CSC=Y&amp;PAGE=booktext&amp;D=books&amp;AN=01429605$&amp;XPATH=/PG(0)&amp;EPUB=Y","http://ovidsp.ovid.com/ovidweb.cgi?T=JS&amp;NEWS=n&amp;CSC=Y&amp;PAGE=booktext&amp;D=books&amp;AN=01429605$&amp;XPATH=/PG(0)&amp;EPUB=Y")</f>
        <v>http://ovidsp.ovid.com/ovidweb.cgi?T=JS&amp;NEWS=n&amp;CSC=Y&amp;PAGE=booktext&amp;D=books&amp;AN=01429605$&amp;XPATH=/PG(0)&amp;EPUB=Y</v>
      </c>
      <c r="G509" t="s">
        <v>2139</v>
      </c>
      <c r="H509" t="s">
        <v>2974</v>
      </c>
      <c r="I509">
        <v>1206726</v>
      </c>
      <c r="J509" t="s">
        <v>3263</v>
      </c>
      <c r="K509" t="s">
        <v>2978</v>
      </c>
    </row>
    <row r="510" spans="1:11" x14ac:dyDescent="0.3">
      <c r="A510" t="s">
        <v>3597</v>
      </c>
      <c r="B510" t="s">
        <v>2226</v>
      </c>
      <c r="C510" t="s">
        <v>4350</v>
      </c>
      <c r="D510" t="s">
        <v>4111</v>
      </c>
      <c r="E510" t="s">
        <v>2223</v>
      </c>
      <c r="F510" s="1" t="str">
        <f>HYPERLINK("http://ovidsp.ovid.com/ovidweb.cgi?T=JS&amp;NEWS=n&amp;CSC=Y&amp;PAGE=booktext&amp;D=books&amp;AN=01382855$&amp;XPATH=/PG(0)&amp;EPUB=Y","http://ovidsp.ovid.com/ovidweb.cgi?T=JS&amp;NEWS=n&amp;CSC=Y&amp;PAGE=booktext&amp;D=books&amp;AN=01382855$&amp;XPATH=/PG(0)&amp;EPUB=Y")</f>
        <v>http://ovidsp.ovid.com/ovidweb.cgi?T=JS&amp;NEWS=n&amp;CSC=Y&amp;PAGE=booktext&amp;D=books&amp;AN=01382855$&amp;XPATH=/PG(0)&amp;EPUB=Y</v>
      </c>
      <c r="G510" t="s">
        <v>2139</v>
      </c>
      <c r="H510" t="s">
        <v>2974</v>
      </c>
      <c r="I510">
        <v>1206726</v>
      </c>
      <c r="J510" t="s">
        <v>3263</v>
      </c>
      <c r="K510" t="s">
        <v>3133</v>
      </c>
    </row>
    <row r="511" spans="1:11" x14ac:dyDescent="0.3">
      <c r="A511" t="s">
        <v>3269</v>
      </c>
      <c r="B511" t="s">
        <v>1559</v>
      </c>
      <c r="C511" t="s">
        <v>2219</v>
      </c>
      <c r="D511" t="s">
        <v>4111</v>
      </c>
      <c r="E511" t="s">
        <v>1104</v>
      </c>
      <c r="F511" s="1" t="str">
        <f>HYPERLINK("http://ovidsp.ovid.com/ovidweb.cgi?T=JS&amp;NEWS=n&amp;CSC=Y&amp;PAGE=booktext&amp;D=books&amp;AN=00139936$&amp;XPATH=/PG(0)&amp;EPUB=Y","http://ovidsp.ovid.com/ovidweb.cgi?T=JS&amp;NEWS=n&amp;CSC=Y&amp;PAGE=booktext&amp;D=books&amp;AN=00139936$&amp;XPATH=/PG(0)&amp;EPUB=Y")</f>
        <v>http://ovidsp.ovid.com/ovidweb.cgi?T=JS&amp;NEWS=n&amp;CSC=Y&amp;PAGE=booktext&amp;D=books&amp;AN=00139936$&amp;XPATH=/PG(0)&amp;EPUB=Y</v>
      </c>
      <c r="G511" t="s">
        <v>2139</v>
      </c>
      <c r="H511" t="s">
        <v>2974</v>
      </c>
      <c r="I511">
        <v>1206726</v>
      </c>
      <c r="J511" t="s">
        <v>3263</v>
      </c>
      <c r="K511" t="s">
        <v>558</v>
      </c>
    </row>
    <row r="512" spans="1:11" x14ac:dyDescent="0.3">
      <c r="A512" t="s">
        <v>324</v>
      </c>
      <c r="B512" t="s">
        <v>1268</v>
      </c>
      <c r="C512" t="s">
        <v>717</v>
      </c>
      <c r="D512" t="s">
        <v>4111</v>
      </c>
      <c r="E512" t="s">
        <v>2223</v>
      </c>
      <c r="F512" s="1" t="str">
        <f>HYPERLINK("http://ovidsp.ovid.com/ovidweb.cgi?T=JS&amp;NEWS=n&amp;CSC=Y&amp;PAGE=booktext&amp;D=books&amp;AN=01382804$&amp;XPATH=/PG(0)&amp;EPUB=Y","http://ovidsp.ovid.com/ovidweb.cgi?T=JS&amp;NEWS=n&amp;CSC=Y&amp;PAGE=booktext&amp;D=books&amp;AN=01382804$&amp;XPATH=/PG(0)&amp;EPUB=Y")</f>
        <v>http://ovidsp.ovid.com/ovidweb.cgi?T=JS&amp;NEWS=n&amp;CSC=Y&amp;PAGE=booktext&amp;D=books&amp;AN=01382804$&amp;XPATH=/PG(0)&amp;EPUB=Y</v>
      </c>
      <c r="G512" t="s">
        <v>2139</v>
      </c>
      <c r="H512" t="s">
        <v>2974</v>
      </c>
      <c r="I512">
        <v>1206726</v>
      </c>
      <c r="J512" t="s">
        <v>3263</v>
      </c>
      <c r="K512" t="s">
        <v>2713</v>
      </c>
    </row>
    <row r="513" spans="1:11" x14ac:dyDescent="0.3">
      <c r="A513" t="s">
        <v>2479</v>
      </c>
      <c r="B513" t="s">
        <v>2888</v>
      </c>
      <c r="C513" t="s">
        <v>3493</v>
      </c>
      <c r="D513" t="s">
        <v>4111</v>
      </c>
      <c r="E513" t="s">
        <v>2223</v>
      </c>
      <c r="F513" s="1" t="str">
        <f>HYPERLINK("http://ovidsp.ovid.com/ovidweb.cgi?T=JS&amp;NEWS=n&amp;CSC=Y&amp;PAGE=booktext&amp;D=books&amp;AN=01437401$&amp;XPATH=/PG(0)&amp;EPUB=Y","http://ovidsp.ovid.com/ovidweb.cgi?T=JS&amp;NEWS=n&amp;CSC=Y&amp;PAGE=booktext&amp;D=books&amp;AN=01437401$&amp;XPATH=/PG(0)&amp;EPUB=Y")</f>
        <v>http://ovidsp.ovid.com/ovidweb.cgi?T=JS&amp;NEWS=n&amp;CSC=Y&amp;PAGE=booktext&amp;D=books&amp;AN=01437401$&amp;XPATH=/PG(0)&amp;EPUB=Y</v>
      </c>
      <c r="G513" t="s">
        <v>2139</v>
      </c>
      <c r="H513" t="s">
        <v>2974</v>
      </c>
      <c r="I513">
        <v>1206726</v>
      </c>
      <c r="J513" t="s">
        <v>3263</v>
      </c>
      <c r="K513" t="s">
        <v>2676</v>
      </c>
    </row>
    <row r="514" spans="1:11" x14ac:dyDescent="0.3">
      <c r="A514" t="s">
        <v>4286</v>
      </c>
      <c r="B514" t="s">
        <v>1532</v>
      </c>
      <c r="C514" t="s">
        <v>3623</v>
      </c>
      <c r="D514" t="s">
        <v>4111</v>
      </c>
      <c r="E514" t="s">
        <v>2223</v>
      </c>
      <c r="F514" s="1" t="str">
        <f>HYPERLINK("http://ovidsp.ovid.com/ovidweb.cgi?T=JS&amp;NEWS=n&amp;CSC=Y&amp;PAGE=booktext&amp;D=books&amp;AN=01434670$&amp;XPATH=/PG(0)&amp;EPUB=Y","http://ovidsp.ovid.com/ovidweb.cgi?T=JS&amp;NEWS=n&amp;CSC=Y&amp;PAGE=booktext&amp;D=books&amp;AN=01434670$&amp;XPATH=/PG(0)&amp;EPUB=Y")</f>
        <v>http://ovidsp.ovid.com/ovidweb.cgi?T=JS&amp;NEWS=n&amp;CSC=Y&amp;PAGE=booktext&amp;D=books&amp;AN=01434670$&amp;XPATH=/PG(0)&amp;EPUB=Y</v>
      </c>
      <c r="G514" t="s">
        <v>2139</v>
      </c>
      <c r="H514" t="s">
        <v>2974</v>
      </c>
      <c r="I514">
        <v>1206726</v>
      </c>
      <c r="J514" t="s">
        <v>3263</v>
      </c>
      <c r="K514" t="s">
        <v>382</v>
      </c>
    </row>
    <row r="515" spans="1:11" x14ac:dyDescent="0.3">
      <c r="A515" t="s">
        <v>1884</v>
      </c>
      <c r="B515" t="s">
        <v>3193</v>
      </c>
      <c r="C515" t="s">
        <v>4312</v>
      </c>
      <c r="D515" t="s">
        <v>4111</v>
      </c>
      <c r="E515" t="s">
        <v>2223</v>
      </c>
      <c r="F515" s="1" t="str">
        <f>HYPERLINK("http://ovidsp.ovid.com/ovidweb.cgi?T=JS&amp;NEWS=n&amp;CSC=Y&amp;PAGE=booktext&amp;D=books&amp;AN=01337669$&amp;XPATH=/PG(0)&amp;EPUB=Y","http://ovidsp.ovid.com/ovidweb.cgi?T=JS&amp;NEWS=n&amp;CSC=Y&amp;PAGE=booktext&amp;D=books&amp;AN=01337669$&amp;XPATH=/PG(0)&amp;EPUB=Y")</f>
        <v>http://ovidsp.ovid.com/ovidweb.cgi?T=JS&amp;NEWS=n&amp;CSC=Y&amp;PAGE=booktext&amp;D=books&amp;AN=01337669$&amp;XPATH=/PG(0)&amp;EPUB=Y</v>
      </c>
      <c r="G515" t="s">
        <v>2139</v>
      </c>
      <c r="H515" t="s">
        <v>2974</v>
      </c>
      <c r="I515">
        <v>1206726</v>
      </c>
      <c r="J515" t="s">
        <v>3263</v>
      </c>
      <c r="K515" t="s">
        <v>3637</v>
      </c>
    </row>
    <row r="516" spans="1:11" x14ac:dyDescent="0.3">
      <c r="A516" t="s">
        <v>4401</v>
      </c>
      <c r="B516" t="s">
        <v>4724</v>
      </c>
      <c r="C516" t="s">
        <v>4492</v>
      </c>
      <c r="D516" t="s">
        <v>4111</v>
      </c>
      <c r="E516" t="s">
        <v>2223</v>
      </c>
      <c r="F516" s="1" t="str">
        <f>HYPERLINK("http://ovidsp.ovid.com/ovidweb.cgi?T=JS&amp;NEWS=n&amp;CSC=Y&amp;PAGE=booktext&amp;D=books&amp;AN=01279748$&amp;XPATH=/PG(0)&amp;EPUB=Y","http://ovidsp.ovid.com/ovidweb.cgi?T=JS&amp;NEWS=n&amp;CSC=Y&amp;PAGE=booktext&amp;D=books&amp;AN=01279748$&amp;XPATH=/PG(0)&amp;EPUB=Y")</f>
        <v>http://ovidsp.ovid.com/ovidweb.cgi?T=JS&amp;NEWS=n&amp;CSC=Y&amp;PAGE=booktext&amp;D=books&amp;AN=01279748$&amp;XPATH=/PG(0)&amp;EPUB=Y</v>
      </c>
      <c r="G516" t="s">
        <v>2139</v>
      </c>
      <c r="H516" t="s">
        <v>2974</v>
      </c>
      <c r="I516">
        <v>1206726</v>
      </c>
      <c r="J516" t="s">
        <v>3263</v>
      </c>
      <c r="K516" t="s">
        <v>2585</v>
      </c>
    </row>
    <row r="517" spans="1:11" x14ac:dyDescent="0.3">
      <c r="A517" t="s">
        <v>970</v>
      </c>
      <c r="B517" t="s">
        <v>2388</v>
      </c>
      <c r="C517" t="s">
        <v>305</v>
      </c>
      <c r="D517" t="s">
        <v>4111</v>
      </c>
      <c r="E517" t="s">
        <v>404</v>
      </c>
      <c r="F517" s="1" t="str">
        <f>HYPERLINK("http://ovidsp.ovid.com/ovidweb.cgi?T=JS&amp;NEWS=n&amp;CSC=Y&amp;PAGE=booktext&amp;D=books&amp;AN=01279749$&amp;XPATH=/PG(0)&amp;EPUB=Y","http://ovidsp.ovid.com/ovidweb.cgi?T=JS&amp;NEWS=n&amp;CSC=Y&amp;PAGE=booktext&amp;D=books&amp;AN=01279749$&amp;XPATH=/PG(0)&amp;EPUB=Y")</f>
        <v>http://ovidsp.ovid.com/ovidweb.cgi?T=JS&amp;NEWS=n&amp;CSC=Y&amp;PAGE=booktext&amp;D=books&amp;AN=01279749$&amp;XPATH=/PG(0)&amp;EPUB=Y</v>
      </c>
      <c r="G517" t="s">
        <v>2139</v>
      </c>
      <c r="H517" t="s">
        <v>2974</v>
      </c>
      <c r="I517">
        <v>1206726</v>
      </c>
      <c r="J517" t="s">
        <v>3263</v>
      </c>
      <c r="K517" t="s">
        <v>1257</v>
      </c>
    </row>
    <row r="518" spans="1:11" x14ac:dyDescent="0.3">
      <c r="A518" t="s">
        <v>2175</v>
      </c>
      <c r="B518" t="s">
        <v>917</v>
      </c>
      <c r="C518" t="s">
        <v>4135</v>
      </c>
      <c r="D518" t="s">
        <v>4111</v>
      </c>
      <c r="E518" t="s">
        <v>2223</v>
      </c>
      <c r="F518" s="1" t="str">
        <f>HYPERLINK("http://ovidsp.ovid.com/ovidweb.cgi?T=JS&amp;NEWS=n&amp;CSC=Y&amp;PAGE=booktext&amp;D=books&amp;AN=01382572$&amp;XPATH=/PG(0)&amp;EPUB=Y","http://ovidsp.ovid.com/ovidweb.cgi?T=JS&amp;NEWS=n&amp;CSC=Y&amp;PAGE=booktext&amp;D=books&amp;AN=01382572$&amp;XPATH=/PG(0)&amp;EPUB=Y")</f>
        <v>http://ovidsp.ovid.com/ovidweb.cgi?T=JS&amp;NEWS=n&amp;CSC=Y&amp;PAGE=booktext&amp;D=books&amp;AN=01382572$&amp;XPATH=/PG(0)&amp;EPUB=Y</v>
      </c>
      <c r="G518" t="s">
        <v>2139</v>
      </c>
      <c r="H518" t="s">
        <v>2974</v>
      </c>
      <c r="I518">
        <v>1206726</v>
      </c>
      <c r="J518" t="s">
        <v>3263</v>
      </c>
      <c r="K518" t="s">
        <v>4136</v>
      </c>
    </row>
    <row r="519" spans="1:11" x14ac:dyDescent="0.3">
      <c r="A519" t="s">
        <v>3445</v>
      </c>
      <c r="B519" t="s">
        <v>982</v>
      </c>
      <c r="C519" t="s">
        <v>4124</v>
      </c>
      <c r="D519" t="s">
        <v>4111</v>
      </c>
      <c r="E519" t="s">
        <v>2876</v>
      </c>
      <c r="F519" s="1" t="str">
        <f>HYPERLINK("http://ovidsp.ovid.com/ovidweb.cgi?T=JS&amp;NEWS=n&amp;CSC=Y&amp;PAGE=booktext&amp;D=books&amp;AN=01382573$&amp;XPATH=/PG(0)&amp;EPUB=Y","http://ovidsp.ovid.com/ovidweb.cgi?T=JS&amp;NEWS=n&amp;CSC=Y&amp;PAGE=booktext&amp;D=books&amp;AN=01382573$&amp;XPATH=/PG(0)&amp;EPUB=Y")</f>
        <v>http://ovidsp.ovid.com/ovidweb.cgi?T=JS&amp;NEWS=n&amp;CSC=Y&amp;PAGE=booktext&amp;D=books&amp;AN=01382573$&amp;XPATH=/PG(0)&amp;EPUB=Y</v>
      </c>
      <c r="G519" t="s">
        <v>2139</v>
      </c>
      <c r="H519" t="s">
        <v>2974</v>
      </c>
      <c r="I519">
        <v>1206726</v>
      </c>
      <c r="J519" t="s">
        <v>3263</v>
      </c>
      <c r="K519" t="s">
        <v>913</v>
      </c>
    </row>
    <row r="520" spans="1:11" x14ac:dyDescent="0.3">
      <c r="A520" t="s">
        <v>1340</v>
      </c>
      <c r="B520" t="s">
        <v>1354</v>
      </c>
      <c r="C520" t="s">
        <v>1965</v>
      </c>
      <c r="D520" t="s">
        <v>4111</v>
      </c>
      <c r="E520" t="s">
        <v>2223</v>
      </c>
      <c r="F520" s="1" t="str">
        <f>HYPERLINK("http://ovidsp.ovid.com/ovidweb.cgi?T=JS&amp;NEWS=n&amp;CSC=Y&amp;PAGE=booktext&amp;D=books&amp;AN=01437531$&amp;XPATH=/PG(0)&amp;EPUB=Y","http://ovidsp.ovid.com/ovidweb.cgi?T=JS&amp;NEWS=n&amp;CSC=Y&amp;PAGE=booktext&amp;D=books&amp;AN=01437531$&amp;XPATH=/PG(0)&amp;EPUB=Y")</f>
        <v>http://ovidsp.ovid.com/ovidweb.cgi?T=JS&amp;NEWS=n&amp;CSC=Y&amp;PAGE=booktext&amp;D=books&amp;AN=01437531$&amp;XPATH=/PG(0)&amp;EPUB=Y</v>
      </c>
      <c r="G520" t="s">
        <v>2139</v>
      </c>
      <c r="H520" t="s">
        <v>2974</v>
      </c>
      <c r="I520">
        <v>1206726</v>
      </c>
      <c r="J520" t="s">
        <v>3263</v>
      </c>
      <c r="K520" t="s">
        <v>1504</v>
      </c>
    </row>
    <row r="521" spans="1:11" x14ac:dyDescent="0.3">
      <c r="A521" t="s">
        <v>3534</v>
      </c>
      <c r="B521" t="s">
        <v>4626</v>
      </c>
      <c r="C521" t="s">
        <v>1267</v>
      </c>
      <c r="D521" t="s">
        <v>4111</v>
      </c>
      <c r="E521" t="s">
        <v>2223</v>
      </c>
      <c r="F521" s="1" t="str">
        <f>HYPERLINK("http://ovidsp.ovid.com/ovidweb.cgi?T=JS&amp;NEWS=n&amp;CSC=Y&amp;PAGE=booktext&amp;D=books&amp;AN=01382569$&amp;XPATH=/PG(0)&amp;EPUB=Y","http://ovidsp.ovid.com/ovidweb.cgi?T=JS&amp;NEWS=n&amp;CSC=Y&amp;PAGE=booktext&amp;D=books&amp;AN=01382569$&amp;XPATH=/PG(0)&amp;EPUB=Y")</f>
        <v>http://ovidsp.ovid.com/ovidweb.cgi?T=JS&amp;NEWS=n&amp;CSC=Y&amp;PAGE=booktext&amp;D=books&amp;AN=01382569$&amp;XPATH=/PG(0)&amp;EPUB=Y</v>
      </c>
      <c r="G521" t="s">
        <v>2139</v>
      </c>
      <c r="H521" t="s">
        <v>2974</v>
      </c>
      <c r="I521">
        <v>1206726</v>
      </c>
      <c r="J521" t="s">
        <v>3263</v>
      </c>
      <c r="K521" t="s">
        <v>668</v>
      </c>
    </row>
    <row r="522" spans="1:11" x14ac:dyDescent="0.3">
      <c r="A522" t="s">
        <v>163</v>
      </c>
      <c r="B522" t="s">
        <v>832</v>
      </c>
      <c r="C522" t="s">
        <v>1616</v>
      </c>
      <c r="D522" t="s">
        <v>4111</v>
      </c>
      <c r="E522" t="s">
        <v>1104</v>
      </c>
      <c r="F522" s="1" t="str">
        <f>HYPERLINK("http://ovidsp.ovid.com/ovidweb.cgi?T=JS&amp;NEWS=n&amp;CSC=Y&amp;PAGE=booktext&amp;D=books&amp;AN=01382483$&amp;XPATH=/PG(0)&amp;EPUB=Y","http://ovidsp.ovid.com/ovidweb.cgi?T=JS&amp;NEWS=n&amp;CSC=Y&amp;PAGE=booktext&amp;D=books&amp;AN=01382483$&amp;XPATH=/PG(0)&amp;EPUB=Y")</f>
        <v>http://ovidsp.ovid.com/ovidweb.cgi?T=JS&amp;NEWS=n&amp;CSC=Y&amp;PAGE=booktext&amp;D=books&amp;AN=01382483$&amp;XPATH=/PG(0)&amp;EPUB=Y</v>
      </c>
      <c r="G522" t="s">
        <v>2139</v>
      </c>
      <c r="H522" t="s">
        <v>2974</v>
      </c>
      <c r="I522">
        <v>1206726</v>
      </c>
      <c r="J522" t="s">
        <v>3263</v>
      </c>
      <c r="K522" t="s">
        <v>1705</v>
      </c>
    </row>
    <row r="523" spans="1:11" x14ac:dyDescent="0.3">
      <c r="A523" t="s">
        <v>4288</v>
      </c>
      <c r="B523" t="s">
        <v>4649</v>
      </c>
      <c r="C523" t="s">
        <v>3323</v>
      </c>
      <c r="D523" t="s">
        <v>4111</v>
      </c>
      <c r="E523" t="s">
        <v>1104</v>
      </c>
      <c r="F523" s="1" t="str">
        <f>HYPERLINK("http://ovidsp.ovid.com/ovidweb.cgi?T=JS&amp;NEWS=n&amp;CSC=Y&amp;PAGE=booktext&amp;D=books&amp;AN=01223021$&amp;XPATH=/PG(0)&amp;EPUB=Y","http://ovidsp.ovid.com/ovidweb.cgi?T=JS&amp;NEWS=n&amp;CSC=Y&amp;PAGE=booktext&amp;D=books&amp;AN=01223021$&amp;XPATH=/PG(0)&amp;EPUB=Y")</f>
        <v>http://ovidsp.ovid.com/ovidweb.cgi?T=JS&amp;NEWS=n&amp;CSC=Y&amp;PAGE=booktext&amp;D=books&amp;AN=01223021$&amp;XPATH=/PG(0)&amp;EPUB=Y</v>
      </c>
      <c r="G523" t="s">
        <v>2139</v>
      </c>
      <c r="H523" t="s">
        <v>2974</v>
      </c>
      <c r="I523">
        <v>1206726</v>
      </c>
      <c r="J523" t="s">
        <v>3263</v>
      </c>
      <c r="K523" t="s">
        <v>1209</v>
      </c>
    </row>
    <row r="524" spans="1:11" x14ac:dyDescent="0.3">
      <c r="A524" t="s">
        <v>1286</v>
      </c>
      <c r="B524" t="s">
        <v>34</v>
      </c>
      <c r="C524" t="s">
        <v>125</v>
      </c>
      <c r="D524" t="s">
        <v>4111</v>
      </c>
      <c r="E524" t="s">
        <v>2876</v>
      </c>
      <c r="F524" s="1" t="str">
        <f>HYPERLINK("http://ovidsp.ovid.com/ovidweb.cgi?T=JS&amp;NEWS=n&amp;CSC=Y&amp;PAGE=booktext&amp;D=books&amp;AN=01412542$&amp;XPATH=/PG(0)&amp;EPUB=Y","http://ovidsp.ovid.com/ovidweb.cgi?T=JS&amp;NEWS=n&amp;CSC=Y&amp;PAGE=booktext&amp;D=books&amp;AN=01412542$&amp;XPATH=/PG(0)&amp;EPUB=Y")</f>
        <v>http://ovidsp.ovid.com/ovidweb.cgi?T=JS&amp;NEWS=n&amp;CSC=Y&amp;PAGE=booktext&amp;D=books&amp;AN=01412542$&amp;XPATH=/PG(0)&amp;EPUB=Y</v>
      </c>
      <c r="G524" t="s">
        <v>2139</v>
      </c>
      <c r="H524" t="s">
        <v>2974</v>
      </c>
      <c r="I524">
        <v>1206726</v>
      </c>
      <c r="J524" t="s">
        <v>3263</v>
      </c>
      <c r="K524" t="s">
        <v>4055</v>
      </c>
    </row>
    <row r="525" spans="1:11" x14ac:dyDescent="0.3">
      <c r="A525" t="s">
        <v>3233</v>
      </c>
      <c r="B525" t="s">
        <v>1413</v>
      </c>
      <c r="C525" t="s">
        <v>865</v>
      </c>
      <c r="D525" t="s">
        <v>4111</v>
      </c>
      <c r="E525" t="s">
        <v>2223</v>
      </c>
      <c r="F525" s="1" t="str">
        <f>HYPERLINK("http://ovidsp.ovid.com/ovidweb.cgi?T=JS&amp;NEWS=n&amp;CSC=Y&amp;PAGE=booktext&amp;D=books&amp;AN=01382812$&amp;XPATH=/PG(0)&amp;EPUB=Y","http://ovidsp.ovid.com/ovidweb.cgi?T=JS&amp;NEWS=n&amp;CSC=Y&amp;PAGE=booktext&amp;D=books&amp;AN=01382812$&amp;XPATH=/PG(0)&amp;EPUB=Y")</f>
        <v>http://ovidsp.ovid.com/ovidweb.cgi?T=JS&amp;NEWS=n&amp;CSC=Y&amp;PAGE=booktext&amp;D=books&amp;AN=01382812$&amp;XPATH=/PG(0)&amp;EPUB=Y</v>
      </c>
      <c r="G525" t="s">
        <v>2139</v>
      </c>
      <c r="H525" t="s">
        <v>2974</v>
      </c>
      <c r="I525">
        <v>1206726</v>
      </c>
      <c r="J525" t="s">
        <v>3263</v>
      </c>
      <c r="K525" t="s">
        <v>3185</v>
      </c>
    </row>
    <row r="526" spans="1:11" x14ac:dyDescent="0.3">
      <c r="A526" t="s">
        <v>2060</v>
      </c>
      <c r="B526" t="s">
        <v>3826</v>
      </c>
      <c r="C526" t="s">
        <v>2408</v>
      </c>
      <c r="D526" t="s">
        <v>4111</v>
      </c>
      <c r="E526" t="s">
        <v>2223</v>
      </c>
      <c r="F526" s="1" t="str">
        <f>HYPERLINK("http://ovidsp.ovid.com/ovidweb.cgi?T=JS&amp;NEWS=n&amp;CSC=Y&amp;PAGE=booktext&amp;D=books&amp;AN=01337670$&amp;XPATH=/PG(0)&amp;EPUB=Y","http://ovidsp.ovid.com/ovidweb.cgi?T=JS&amp;NEWS=n&amp;CSC=Y&amp;PAGE=booktext&amp;D=books&amp;AN=01337670$&amp;XPATH=/PG(0)&amp;EPUB=Y")</f>
        <v>http://ovidsp.ovid.com/ovidweb.cgi?T=JS&amp;NEWS=n&amp;CSC=Y&amp;PAGE=booktext&amp;D=books&amp;AN=01337670$&amp;XPATH=/PG(0)&amp;EPUB=Y</v>
      </c>
      <c r="G526" t="s">
        <v>2139</v>
      </c>
      <c r="H526" t="s">
        <v>2974</v>
      </c>
      <c r="I526">
        <v>1206726</v>
      </c>
      <c r="J526" t="s">
        <v>3263</v>
      </c>
      <c r="K526" t="s">
        <v>3479</v>
      </c>
    </row>
    <row r="527" spans="1:11" x14ac:dyDescent="0.3">
      <c r="A527" t="s">
        <v>688</v>
      </c>
      <c r="B527" t="s">
        <v>1914</v>
      </c>
      <c r="C527" t="s">
        <v>800</v>
      </c>
      <c r="D527" t="s">
        <v>4111</v>
      </c>
      <c r="E527" t="s">
        <v>1104</v>
      </c>
      <c r="F527" s="1" t="str">
        <f>HYPERLINK("http://ovidsp.ovid.com/ovidweb.cgi?T=JS&amp;NEWS=n&amp;CSC=Y&amp;PAGE=booktext&amp;D=books&amp;AN=01279718$&amp;XPATH=/PG(0)&amp;EPUB=Y","http://ovidsp.ovid.com/ovidweb.cgi?T=JS&amp;NEWS=n&amp;CSC=Y&amp;PAGE=booktext&amp;D=books&amp;AN=01279718$&amp;XPATH=/PG(0)&amp;EPUB=Y")</f>
        <v>http://ovidsp.ovid.com/ovidweb.cgi?T=JS&amp;NEWS=n&amp;CSC=Y&amp;PAGE=booktext&amp;D=books&amp;AN=01279718$&amp;XPATH=/PG(0)&amp;EPUB=Y</v>
      </c>
      <c r="G527" t="s">
        <v>2139</v>
      </c>
      <c r="H527" t="s">
        <v>2974</v>
      </c>
      <c r="I527">
        <v>1206726</v>
      </c>
      <c r="J527" t="s">
        <v>3263</v>
      </c>
      <c r="K527" t="s">
        <v>2319</v>
      </c>
    </row>
    <row r="528" spans="1:11" x14ac:dyDescent="0.3">
      <c r="A528" t="s">
        <v>244</v>
      </c>
      <c r="B528" t="s">
        <v>3611</v>
      </c>
      <c r="C528" t="s">
        <v>2407</v>
      </c>
      <c r="D528" t="s">
        <v>4111</v>
      </c>
      <c r="E528" t="s">
        <v>1595</v>
      </c>
      <c r="F528" s="1" t="str">
        <f>HYPERLINK("http://ovidsp.ovid.com/ovidweb.cgi?T=JS&amp;NEWS=n&amp;CSC=Y&amp;PAGE=booktext&amp;D=books&amp;AN=00140031$&amp;XPATH=/PG(0)&amp;EPUB=Y","http://ovidsp.ovid.com/ovidweb.cgi?T=JS&amp;NEWS=n&amp;CSC=Y&amp;PAGE=booktext&amp;D=books&amp;AN=00140031$&amp;XPATH=/PG(0)&amp;EPUB=Y")</f>
        <v>http://ovidsp.ovid.com/ovidweb.cgi?T=JS&amp;NEWS=n&amp;CSC=Y&amp;PAGE=booktext&amp;D=books&amp;AN=00140031$&amp;XPATH=/PG(0)&amp;EPUB=Y</v>
      </c>
      <c r="G528" t="s">
        <v>2139</v>
      </c>
      <c r="H528" t="s">
        <v>2974</v>
      </c>
      <c r="I528">
        <v>1206726</v>
      </c>
      <c r="J528" t="s">
        <v>3263</v>
      </c>
      <c r="K528" t="s">
        <v>4105</v>
      </c>
    </row>
    <row r="529" spans="1:11" x14ac:dyDescent="0.3">
      <c r="A529" t="s">
        <v>3179</v>
      </c>
      <c r="B529" t="s">
        <v>3339</v>
      </c>
      <c r="C529" t="s">
        <v>966</v>
      </c>
      <c r="D529" t="s">
        <v>4111</v>
      </c>
      <c r="E529" t="s">
        <v>1104</v>
      </c>
      <c r="F529" s="1" t="str">
        <f>HYPERLINK("http://ovidsp.ovid.com/ovidweb.cgi?T=JS&amp;NEWS=n&amp;CSC=Y&amp;PAGE=booktext&amp;D=books&amp;AN=01429530$&amp;XPATH=/PG(0)&amp;EPUB=Y","http://ovidsp.ovid.com/ovidweb.cgi?T=JS&amp;NEWS=n&amp;CSC=Y&amp;PAGE=booktext&amp;D=books&amp;AN=01429530$&amp;XPATH=/PG(0)&amp;EPUB=Y")</f>
        <v>http://ovidsp.ovid.com/ovidweb.cgi?T=JS&amp;NEWS=n&amp;CSC=Y&amp;PAGE=booktext&amp;D=books&amp;AN=01429530$&amp;XPATH=/PG(0)&amp;EPUB=Y</v>
      </c>
      <c r="G529" t="s">
        <v>2139</v>
      </c>
      <c r="H529" t="s">
        <v>2974</v>
      </c>
      <c r="I529">
        <v>1206726</v>
      </c>
      <c r="J529" t="s">
        <v>3263</v>
      </c>
      <c r="K529" t="s">
        <v>1299</v>
      </c>
    </row>
    <row r="530" spans="1:11" x14ac:dyDescent="0.3">
      <c r="A530" t="s">
        <v>3179</v>
      </c>
      <c r="B530" t="s">
        <v>1059</v>
      </c>
      <c r="C530" t="s">
        <v>2044</v>
      </c>
      <c r="D530" t="s">
        <v>4111</v>
      </c>
      <c r="E530" t="s">
        <v>3051</v>
      </c>
      <c r="F530" s="1" t="str">
        <f>HYPERLINK("http://ovidsp.ovid.com/ovidweb.cgi?T=JS&amp;NEWS=n&amp;CSC=Y&amp;PAGE=booktext&amp;D=books&amp;AN=01787249$&amp;XPATH=/PG(0)&amp;EPUB=Y","http://ovidsp.ovid.com/ovidweb.cgi?T=JS&amp;NEWS=n&amp;CSC=Y&amp;PAGE=booktext&amp;D=books&amp;AN=01787249$&amp;XPATH=/PG(0)&amp;EPUB=Y")</f>
        <v>http://ovidsp.ovid.com/ovidweb.cgi?T=JS&amp;NEWS=n&amp;CSC=Y&amp;PAGE=booktext&amp;D=books&amp;AN=01787249$&amp;XPATH=/PG(0)&amp;EPUB=Y</v>
      </c>
      <c r="G530" t="s">
        <v>2139</v>
      </c>
      <c r="H530" t="s">
        <v>2974</v>
      </c>
      <c r="I530">
        <v>1206726</v>
      </c>
      <c r="J530" t="s">
        <v>3263</v>
      </c>
      <c r="K530" t="s">
        <v>2452</v>
      </c>
    </row>
    <row r="531" spans="1:11" x14ac:dyDescent="0.3">
      <c r="A531" t="s">
        <v>1382</v>
      </c>
      <c r="B531" t="s">
        <v>2076</v>
      </c>
      <c r="C531" t="s">
        <v>2729</v>
      </c>
      <c r="D531" t="s">
        <v>4111</v>
      </c>
      <c r="E531" t="s">
        <v>2223</v>
      </c>
      <c r="F531" s="1" t="str">
        <f>HYPERLINK("http://ovidsp.ovid.com/ovidweb.cgi?T=JS&amp;NEWS=n&amp;CSC=Y&amp;PAGE=booktext&amp;D=books&amp;AN=01382840$&amp;XPATH=/PG(0)&amp;EPUB=Y","http://ovidsp.ovid.com/ovidweb.cgi?T=JS&amp;NEWS=n&amp;CSC=Y&amp;PAGE=booktext&amp;D=books&amp;AN=01382840$&amp;XPATH=/PG(0)&amp;EPUB=Y")</f>
        <v>http://ovidsp.ovid.com/ovidweb.cgi?T=JS&amp;NEWS=n&amp;CSC=Y&amp;PAGE=booktext&amp;D=books&amp;AN=01382840$&amp;XPATH=/PG(0)&amp;EPUB=Y</v>
      </c>
      <c r="G531" t="s">
        <v>2139</v>
      </c>
      <c r="H531" t="s">
        <v>2974</v>
      </c>
      <c r="I531">
        <v>1206726</v>
      </c>
      <c r="J531" t="s">
        <v>3263</v>
      </c>
      <c r="K531" t="s">
        <v>649</v>
      </c>
    </row>
    <row r="532" spans="1:11" x14ac:dyDescent="0.3">
      <c r="A532" t="s">
        <v>4526</v>
      </c>
      <c r="B532" t="s">
        <v>3449</v>
      </c>
      <c r="C532" t="s">
        <v>1401</v>
      </c>
      <c r="D532" t="s">
        <v>4111</v>
      </c>
      <c r="E532" t="s">
        <v>3051</v>
      </c>
      <c r="F532" s="1" t="str">
        <f>HYPERLINK("http://ovidsp.ovid.com/ovidweb.cgi?T=JS&amp;NEWS=n&amp;CSC=Y&amp;PAGE=booktext&amp;D=books&amp;AN=01382731$&amp;XPATH=/PG(0)&amp;EPUB=Y","http://ovidsp.ovid.com/ovidweb.cgi?T=JS&amp;NEWS=n&amp;CSC=Y&amp;PAGE=booktext&amp;D=books&amp;AN=01382731$&amp;XPATH=/PG(0)&amp;EPUB=Y")</f>
        <v>http://ovidsp.ovid.com/ovidweb.cgi?T=JS&amp;NEWS=n&amp;CSC=Y&amp;PAGE=booktext&amp;D=books&amp;AN=01382731$&amp;XPATH=/PG(0)&amp;EPUB=Y</v>
      </c>
      <c r="G532" t="s">
        <v>2139</v>
      </c>
      <c r="H532" t="s">
        <v>2974</v>
      </c>
      <c r="I532">
        <v>1206726</v>
      </c>
      <c r="J532" t="s">
        <v>3263</v>
      </c>
      <c r="K532" t="s">
        <v>4682</v>
      </c>
    </row>
    <row r="533" spans="1:11" x14ac:dyDescent="0.3">
      <c r="A533" t="s">
        <v>944</v>
      </c>
      <c r="B533" t="s">
        <v>3720</v>
      </c>
      <c r="C533" t="s">
        <v>1422</v>
      </c>
      <c r="D533" t="s">
        <v>4111</v>
      </c>
      <c r="E533" t="s">
        <v>404</v>
      </c>
      <c r="F533" s="1" t="str">
        <f>HYPERLINK("http://ovidsp.ovid.com/ovidweb.cgi?T=JS&amp;NEWS=n&amp;CSC=Y&amp;PAGE=booktext&amp;D=books&amp;AN=01437533$&amp;XPATH=/PG(0)&amp;EPUB=Y","http://ovidsp.ovid.com/ovidweb.cgi?T=JS&amp;NEWS=n&amp;CSC=Y&amp;PAGE=booktext&amp;D=books&amp;AN=01437533$&amp;XPATH=/PG(0)&amp;EPUB=Y")</f>
        <v>http://ovidsp.ovid.com/ovidweb.cgi?T=JS&amp;NEWS=n&amp;CSC=Y&amp;PAGE=booktext&amp;D=books&amp;AN=01437533$&amp;XPATH=/PG(0)&amp;EPUB=Y</v>
      </c>
      <c r="G533" t="s">
        <v>2139</v>
      </c>
      <c r="H533" t="s">
        <v>2974</v>
      </c>
      <c r="I533">
        <v>1206726</v>
      </c>
      <c r="J533" t="s">
        <v>3263</v>
      </c>
      <c r="K533" t="s">
        <v>118</v>
      </c>
    </row>
    <row r="534" spans="1:11" x14ac:dyDescent="0.3">
      <c r="A534" t="s">
        <v>4026</v>
      </c>
      <c r="B534" t="s">
        <v>2068</v>
      </c>
      <c r="C534" t="s">
        <v>92</v>
      </c>
      <c r="D534" t="s">
        <v>4111</v>
      </c>
      <c r="E534" t="s">
        <v>2223</v>
      </c>
      <c r="F534" s="1" t="str">
        <f>HYPERLINK("http://ovidsp.ovid.com/ovidweb.cgi?T=JS&amp;NEWS=n&amp;CSC=Y&amp;PAGE=booktext&amp;D=books&amp;AN=01435751$&amp;XPATH=/PG(0)&amp;EPUB=Y","http://ovidsp.ovid.com/ovidweb.cgi?T=JS&amp;NEWS=n&amp;CSC=Y&amp;PAGE=booktext&amp;D=books&amp;AN=01435751$&amp;XPATH=/PG(0)&amp;EPUB=Y")</f>
        <v>http://ovidsp.ovid.com/ovidweb.cgi?T=JS&amp;NEWS=n&amp;CSC=Y&amp;PAGE=booktext&amp;D=books&amp;AN=01435751$&amp;XPATH=/PG(0)&amp;EPUB=Y</v>
      </c>
      <c r="G534" t="s">
        <v>2139</v>
      </c>
      <c r="H534" t="s">
        <v>2974</v>
      </c>
      <c r="I534">
        <v>1206726</v>
      </c>
      <c r="J534" t="s">
        <v>3263</v>
      </c>
      <c r="K534" t="s">
        <v>2058</v>
      </c>
    </row>
    <row r="535" spans="1:11" x14ac:dyDescent="0.3">
      <c r="A535" t="s">
        <v>4248</v>
      </c>
      <c r="B535" t="s">
        <v>2528</v>
      </c>
      <c r="C535" t="s">
        <v>85</v>
      </c>
      <c r="D535" t="s">
        <v>4111</v>
      </c>
      <c r="E535" t="s">
        <v>3051</v>
      </c>
      <c r="F535" s="1" t="str">
        <f>HYPERLINK("http://ovidsp.ovid.com/ovidweb.cgi?T=JS&amp;NEWS=n&amp;CSC=Y&amp;PAGE=booktext&amp;D=books&amp;AN=01337256$&amp;XPATH=/PG(0)&amp;EPUB=Y","http://ovidsp.ovid.com/ovidweb.cgi?T=JS&amp;NEWS=n&amp;CSC=Y&amp;PAGE=booktext&amp;D=books&amp;AN=01337256$&amp;XPATH=/PG(0)&amp;EPUB=Y")</f>
        <v>http://ovidsp.ovid.com/ovidweb.cgi?T=JS&amp;NEWS=n&amp;CSC=Y&amp;PAGE=booktext&amp;D=books&amp;AN=01337256$&amp;XPATH=/PG(0)&amp;EPUB=Y</v>
      </c>
      <c r="G535" t="s">
        <v>2139</v>
      </c>
      <c r="H535" t="s">
        <v>2974</v>
      </c>
      <c r="I535">
        <v>1206726</v>
      </c>
      <c r="J535" t="s">
        <v>3263</v>
      </c>
      <c r="K535" t="s">
        <v>2715</v>
      </c>
    </row>
    <row r="536" spans="1:11" x14ac:dyDescent="0.3">
      <c r="A536" t="s">
        <v>4639</v>
      </c>
      <c r="B536" t="s">
        <v>3168</v>
      </c>
      <c r="C536" t="s">
        <v>1555</v>
      </c>
      <c r="D536" t="s">
        <v>3064</v>
      </c>
      <c r="E536" t="s">
        <v>3387</v>
      </c>
      <c r="F536" s="1" t="str">
        <f>HYPERLINK("http://ovidsp.ovid.com/ovidweb.cgi?T=JS&amp;NEWS=n&amp;CSC=Y&amp;PAGE=booktext&amp;D=books&amp;AN=01273128$&amp;XPATH=/PG(0)&amp;EPUB=Y","http://ovidsp.ovid.com/ovidweb.cgi?T=JS&amp;NEWS=n&amp;CSC=Y&amp;PAGE=booktext&amp;D=books&amp;AN=01273128$&amp;XPATH=/PG(0)&amp;EPUB=Y")</f>
        <v>http://ovidsp.ovid.com/ovidweb.cgi?T=JS&amp;NEWS=n&amp;CSC=Y&amp;PAGE=booktext&amp;D=books&amp;AN=01273128$&amp;XPATH=/PG(0)&amp;EPUB=Y</v>
      </c>
      <c r="G536" t="s">
        <v>2139</v>
      </c>
      <c r="H536" t="s">
        <v>2974</v>
      </c>
      <c r="I536">
        <v>1206726</v>
      </c>
      <c r="J536" t="s">
        <v>3263</v>
      </c>
      <c r="K536" t="s">
        <v>3264</v>
      </c>
    </row>
    <row r="537" spans="1:11" x14ac:dyDescent="0.3">
      <c r="A537" t="s">
        <v>4639</v>
      </c>
      <c r="B537" t="s">
        <v>3061</v>
      </c>
      <c r="C537" t="s">
        <v>3535</v>
      </c>
      <c r="D537" t="s">
        <v>4111</v>
      </c>
      <c r="E537" t="s">
        <v>1595</v>
      </c>
      <c r="F537" s="1" t="str">
        <f>HYPERLINK("http://ovidsp.ovid.com/ovidweb.cgi?T=JS&amp;NEWS=n&amp;CSC=Y&amp;PAGE=booktext&amp;D=books&amp;AN=01438864$&amp;XPATH=/PG(0)&amp;EPUB=Y","http://ovidsp.ovid.com/ovidweb.cgi?T=JS&amp;NEWS=n&amp;CSC=Y&amp;PAGE=booktext&amp;D=books&amp;AN=01438864$&amp;XPATH=/PG(0)&amp;EPUB=Y")</f>
        <v>http://ovidsp.ovid.com/ovidweb.cgi?T=JS&amp;NEWS=n&amp;CSC=Y&amp;PAGE=booktext&amp;D=books&amp;AN=01438864$&amp;XPATH=/PG(0)&amp;EPUB=Y</v>
      </c>
      <c r="G537" t="s">
        <v>2139</v>
      </c>
      <c r="H537" t="s">
        <v>2974</v>
      </c>
      <c r="I537">
        <v>1206726</v>
      </c>
      <c r="J537" t="s">
        <v>3263</v>
      </c>
      <c r="K537" t="s">
        <v>3040</v>
      </c>
    </row>
    <row r="538" spans="1:11" x14ac:dyDescent="0.3">
      <c r="A538" t="s">
        <v>1307</v>
      </c>
      <c r="B538" t="s">
        <v>2735</v>
      </c>
      <c r="C538" t="s">
        <v>3871</v>
      </c>
      <c r="D538" t="s">
        <v>4111</v>
      </c>
      <c r="E538" t="s">
        <v>2223</v>
      </c>
      <c r="F538" s="1" t="str">
        <f>HYPERLINK("http://ovidsp.ovid.com/ovidweb.cgi?T=JS&amp;NEWS=n&amp;CSC=Y&amp;PAGE=booktext&amp;D=books&amp;AN=01382682$&amp;XPATH=/PG(0)&amp;EPUB=Y","http://ovidsp.ovid.com/ovidweb.cgi?T=JS&amp;NEWS=n&amp;CSC=Y&amp;PAGE=booktext&amp;D=books&amp;AN=01382682$&amp;XPATH=/PG(0)&amp;EPUB=Y")</f>
        <v>http://ovidsp.ovid.com/ovidweb.cgi?T=JS&amp;NEWS=n&amp;CSC=Y&amp;PAGE=booktext&amp;D=books&amp;AN=01382682$&amp;XPATH=/PG(0)&amp;EPUB=Y</v>
      </c>
      <c r="G538" t="s">
        <v>2139</v>
      </c>
      <c r="H538" t="s">
        <v>2974</v>
      </c>
      <c r="I538">
        <v>1206726</v>
      </c>
      <c r="J538" t="s">
        <v>3263</v>
      </c>
      <c r="K538" t="s">
        <v>806</v>
      </c>
    </row>
    <row r="539" spans="1:11" x14ac:dyDescent="0.3">
      <c r="A539" t="s">
        <v>3044</v>
      </c>
      <c r="B539" t="s">
        <v>2559</v>
      </c>
      <c r="C539" t="s">
        <v>612</v>
      </c>
      <c r="D539" t="s">
        <v>4111</v>
      </c>
      <c r="E539" t="s">
        <v>2223</v>
      </c>
      <c r="F539" s="1" t="str">
        <f>HYPERLINK("http://ovidsp.ovid.com/ovidweb.cgi?T=JS&amp;NEWS=n&amp;CSC=Y&amp;PAGE=booktext&amp;D=books&amp;AN=01337671$&amp;XPATH=/PG(0)&amp;EPUB=Y","http://ovidsp.ovid.com/ovidweb.cgi?T=JS&amp;NEWS=n&amp;CSC=Y&amp;PAGE=booktext&amp;D=books&amp;AN=01337671$&amp;XPATH=/PG(0)&amp;EPUB=Y")</f>
        <v>http://ovidsp.ovid.com/ovidweb.cgi?T=JS&amp;NEWS=n&amp;CSC=Y&amp;PAGE=booktext&amp;D=books&amp;AN=01337671$&amp;XPATH=/PG(0)&amp;EPUB=Y</v>
      </c>
      <c r="G539" t="s">
        <v>2139</v>
      </c>
      <c r="H539" t="s">
        <v>2974</v>
      </c>
      <c r="I539">
        <v>1206726</v>
      </c>
      <c r="J539" t="s">
        <v>3263</v>
      </c>
      <c r="K539" t="s">
        <v>863</v>
      </c>
    </row>
    <row r="540" spans="1:11" x14ac:dyDescent="0.3">
      <c r="A540" t="s">
        <v>3094</v>
      </c>
      <c r="B540" t="s">
        <v>808</v>
      </c>
      <c r="C540" t="s">
        <v>3711</v>
      </c>
      <c r="D540" t="s">
        <v>4111</v>
      </c>
      <c r="E540" t="s">
        <v>3322</v>
      </c>
      <c r="F540" s="1" t="str">
        <f>HYPERLINK("http://ovidsp.ovid.com/ovidweb.cgi?T=JS&amp;NEWS=n&amp;CSC=Y&amp;PAGE=booktext&amp;D=books&amp;AN=01223023$&amp;XPATH=/PG(0)&amp;EPUB=Y","http://ovidsp.ovid.com/ovidweb.cgi?T=JS&amp;NEWS=n&amp;CSC=Y&amp;PAGE=booktext&amp;D=books&amp;AN=01223023$&amp;XPATH=/PG(0)&amp;EPUB=Y")</f>
        <v>http://ovidsp.ovid.com/ovidweb.cgi?T=JS&amp;NEWS=n&amp;CSC=Y&amp;PAGE=booktext&amp;D=books&amp;AN=01223023$&amp;XPATH=/PG(0)&amp;EPUB=Y</v>
      </c>
      <c r="G540" t="s">
        <v>2139</v>
      </c>
      <c r="H540" t="s">
        <v>2974</v>
      </c>
      <c r="I540">
        <v>1206726</v>
      </c>
      <c r="J540" t="s">
        <v>3263</v>
      </c>
      <c r="K540" t="s">
        <v>1808</v>
      </c>
    </row>
    <row r="541" spans="1:11" x14ac:dyDescent="0.3">
      <c r="A541" t="s">
        <v>2934</v>
      </c>
      <c r="B541" t="s">
        <v>3310</v>
      </c>
      <c r="C541" t="s">
        <v>2000</v>
      </c>
      <c r="D541" t="s">
        <v>4111</v>
      </c>
      <c r="E541" t="s">
        <v>404</v>
      </c>
      <c r="F541" s="1" t="str">
        <f>HYPERLINK("http://ovidsp.ovid.com/ovidweb.cgi?T=JS&amp;NEWS=n&amp;CSC=Y&amp;PAGE=booktext&amp;D=books&amp;AN=00139939$&amp;XPATH=/PG(0)&amp;EPUB=Y","http://ovidsp.ovid.com/ovidweb.cgi?T=JS&amp;NEWS=n&amp;CSC=Y&amp;PAGE=booktext&amp;D=books&amp;AN=00139939$&amp;XPATH=/PG(0)&amp;EPUB=Y")</f>
        <v>http://ovidsp.ovid.com/ovidweb.cgi?T=JS&amp;NEWS=n&amp;CSC=Y&amp;PAGE=booktext&amp;D=books&amp;AN=00139939$&amp;XPATH=/PG(0)&amp;EPUB=Y</v>
      </c>
      <c r="G541" t="s">
        <v>2139</v>
      </c>
      <c r="H541" t="s">
        <v>2974</v>
      </c>
      <c r="I541">
        <v>1206726</v>
      </c>
      <c r="J541" t="s">
        <v>3263</v>
      </c>
      <c r="K541" t="s">
        <v>2061</v>
      </c>
    </row>
    <row r="542" spans="1:11" x14ac:dyDescent="0.3">
      <c r="A542" t="s">
        <v>4694</v>
      </c>
      <c r="B542" t="s">
        <v>4536</v>
      </c>
      <c r="C542" t="s">
        <v>4228</v>
      </c>
      <c r="D542" t="s">
        <v>4111</v>
      </c>
      <c r="E542" t="s">
        <v>3051</v>
      </c>
      <c r="F542" s="1" t="str">
        <f>HYPERLINK("http://ovidsp.ovid.com/ovidweb.cgi?T=JS&amp;NEWS=n&amp;CSC=Y&amp;PAGE=booktext&amp;D=books&amp;AN=01437579$&amp;XPATH=/PG(0)&amp;EPUB=Y","http://ovidsp.ovid.com/ovidweb.cgi?T=JS&amp;NEWS=n&amp;CSC=Y&amp;PAGE=booktext&amp;D=books&amp;AN=01437579$&amp;XPATH=/PG(0)&amp;EPUB=Y")</f>
        <v>http://ovidsp.ovid.com/ovidweb.cgi?T=JS&amp;NEWS=n&amp;CSC=Y&amp;PAGE=booktext&amp;D=books&amp;AN=01437579$&amp;XPATH=/PG(0)&amp;EPUB=Y</v>
      </c>
      <c r="G542" t="s">
        <v>2139</v>
      </c>
      <c r="H542" t="s">
        <v>2974</v>
      </c>
      <c r="I542">
        <v>1206726</v>
      </c>
      <c r="J542" t="s">
        <v>3263</v>
      </c>
      <c r="K542" t="s">
        <v>2026</v>
      </c>
    </row>
    <row r="543" spans="1:11" x14ac:dyDescent="0.3">
      <c r="A543" t="s">
        <v>3704</v>
      </c>
      <c r="B543" t="s">
        <v>4490</v>
      </c>
      <c r="C543" t="s">
        <v>1014</v>
      </c>
      <c r="D543" t="s">
        <v>4111</v>
      </c>
      <c r="E543" t="s">
        <v>2223</v>
      </c>
      <c r="F543" s="1" t="str">
        <f>HYPERLINK("http://ovidsp.ovid.com/ovidweb.cgi?T=JS&amp;NEWS=n&amp;CSC=Y&amp;PAGE=booktext&amp;D=books&amp;AN=01435764$&amp;XPATH=/PG(0)&amp;EPUB=Y","http://ovidsp.ovid.com/ovidweb.cgi?T=JS&amp;NEWS=n&amp;CSC=Y&amp;PAGE=booktext&amp;D=books&amp;AN=01435764$&amp;XPATH=/PG(0)&amp;EPUB=Y")</f>
        <v>http://ovidsp.ovid.com/ovidweb.cgi?T=JS&amp;NEWS=n&amp;CSC=Y&amp;PAGE=booktext&amp;D=books&amp;AN=01435764$&amp;XPATH=/PG(0)&amp;EPUB=Y</v>
      </c>
      <c r="G543" t="s">
        <v>2139</v>
      </c>
      <c r="H543" t="s">
        <v>2974</v>
      </c>
      <c r="I543">
        <v>1206726</v>
      </c>
      <c r="J543" t="s">
        <v>3263</v>
      </c>
      <c r="K543" t="s">
        <v>2801</v>
      </c>
    </row>
    <row r="544" spans="1:11" x14ac:dyDescent="0.3">
      <c r="A544" t="s">
        <v>2347</v>
      </c>
      <c r="B544" t="s">
        <v>3857</v>
      </c>
      <c r="C544" t="s">
        <v>3081</v>
      </c>
      <c r="D544" t="s">
        <v>4111</v>
      </c>
      <c r="E544" t="s">
        <v>3051</v>
      </c>
      <c r="F544" s="1" t="str">
        <f>HYPERLINK("http://ovidsp.ovid.com/ovidweb.cgi?T=JS&amp;NEWS=n&amp;CSC=Y&amp;PAGE=booktext&amp;D=books&amp;AN=01257017$&amp;XPATH=/PG(0)&amp;EPUB=Y","http://ovidsp.ovid.com/ovidweb.cgi?T=JS&amp;NEWS=n&amp;CSC=Y&amp;PAGE=booktext&amp;D=books&amp;AN=01257017$&amp;XPATH=/PG(0)&amp;EPUB=Y")</f>
        <v>http://ovidsp.ovid.com/ovidweb.cgi?T=JS&amp;NEWS=n&amp;CSC=Y&amp;PAGE=booktext&amp;D=books&amp;AN=01257017$&amp;XPATH=/PG(0)&amp;EPUB=Y</v>
      </c>
      <c r="G544" t="s">
        <v>2139</v>
      </c>
      <c r="H544" t="s">
        <v>2974</v>
      </c>
      <c r="I544">
        <v>1206726</v>
      </c>
      <c r="J544" t="s">
        <v>3263</v>
      </c>
      <c r="K544" t="s">
        <v>2271</v>
      </c>
    </row>
    <row r="545" spans="1:11" x14ac:dyDescent="0.3">
      <c r="A545" t="s">
        <v>2837</v>
      </c>
      <c r="B545" t="s">
        <v>945</v>
      </c>
      <c r="C545" t="s">
        <v>3753</v>
      </c>
      <c r="D545" t="s">
        <v>4111</v>
      </c>
      <c r="E545" t="s">
        <v>3051</v>
      </c>
      <c r="F545" s="1" t="str">
        <f>HYPERLINK("http://ovidsp.ovid.com/ovidweb.cgi?T=JS&amp;NEWS=n&amp;CSC=Y&amp;PAGE=booktext&amp;D=books&amp;AN=01437534$&amp;XPATH=/PG(0)&amp;EPUB=Y","http://ovidsp.ovid.com/ovidweb.cgi?T=JS&amp;NEWS=n&amp;CSC=Y&amp;PAGE=booktext&amp;D=books&amp;AN=01437534$&amp;XPATH=/PG(0)&amp;EPUB=Y")</f>
        <v>http://ovidsp.ovid.com/ovidweb.cgi?T=JS&amp;NEWS=n&amp;CSC=Y&amp;PAGE=booktext&amp;D=books&amp;AN=01437534$&amp;XPATH=/PG(0)&amp;EPUB=Y</v>
      </c>
      <c r="G545" t="s">
        <v>2139</v>
      </c>
      <c r="H545" t="s">
        <v>2974</v>
      </c>
      <c r="I545">
        <v>1206726</v>
      </c>
      <c r="J545" t="s">
        <v>3263</v>
      </c>
      <c r="K545" t="s">
        <v>2210</v>
      </c>
    </row>
    <row r="546" spans="1:11" x14ac:dyDescent="0.3">
      <c r="A546" t="s">
        <v>3352</v>
      </c>
      <c r="B546" t="s">
        <v>2879</v>
      </c>
      <c r="C546" t="s">
        <v>1463</v>
      </c>
      <c r="D546" t="s">
        <v>4111</v>
      </c>
      <c r="E546" t="s">
        <v>2223</v>
      </c>
      <c r="F546" s="1" t="str">
        <f>HYPERLINK("http://ovidsp.ovid.com/ovidweb.cgi?T=JS&amp;NEWS=n&amp;CSC=Y&amp;PAGE=booktext&amp;D=books&amp;AN=01382827$&amp;XPATH=/PG(0)&amp;EPUB=Y","http://ovidsp.ovid.com/ovidweb.cgi?T=JS&amp;NEWS=n&amp;CSC=Y&amp;PAGE=booktext&amp;D=books&amp;AN=01382827$&amp;XPATH=/PG(0)&amp;EPUB=Y")</f>
        <v>http://ovidsp.ovid.com/ovidweb.cgi?T=JS&amp;NEWS=n&amp;CSC=Y&amp;PAGE=booktext&amp;D=books&amp;AN=01382827$&amp;XPATH=/PG(0)&amp;EPUB=Y</v>
      </c>
      <c r="G546" t="s">
        <v>2139</v>
      </c>
      <c r="H546" t="s">
        <v>2974</v>
      </c>
      <c r="I546">
        <v>1206726</v>
      </c>
      <c r="J546" t="s">
        <v>3263</v>
      </c>
      <c r="K546" t="s">
        <v>1121</v>
      </c>
    </row>
    <row r="547" spans="1:11" x14ac:dyDescent="0.3">
      <c r="A547" t="s">
        <v>4201</v>
      </c>
      <c r="B547" t="s">
        <v>1643</v>
      </c>
      <c r="C547" t="s">
        <v>2942</v>
      </c>
      <c r="D547" t="s">
        <v>4111</v>
      </c>
      <c r="E547" t="s">
        <v>2223</v>
      </c>
      <c r="F547" s="1" t="str">
        <f>HYPERLINK("http://ovidsp.ovid.com/ovidweb.cgi?T=JS&amp;NEWS=n&amp;CSC=Y&amp;PAGE=booktext&amp;D=books&amp;AN=01382828$&amp;XPATH=/PG(0)&amp;EPUB=Y","http://ovidsp.ovid.com/ovidweb.cgi?T=JS&amp;NEWS=n&amp;CSC=Y&amp;PAGE=booktext&amp;D=books&amp;AN=01382828$&amp;XPATH=/PG(0)&amp;EPUB=Y")</f>
        <v>http://ovidsp.ovid.com/ovidweb.cgi?T=JS&amp;NEWS=n&amp;CSC=Y&amp;PAGE=booktext&amp;D=books&amp;AN=01382828$&amp;XPATH=/PG(0)&amp;EPUB=Y</v>
      </c>
      <c r="G547" t="s">
        <v>2139</v>
      </c>
      <c r="H547" t="s">
        <v>2974</v>
      </c>
      <c r="I547">
        <v>1206726</v>
      </c>
      <c r="J547" t="s">
        <v>3263</v>
      </c>
      <c r="K547" t="s">
        <v>2551</v>
      </c>
    </row>
    <row r="548" spans="1:11" x14ac:dyDescent="0.3">
      <c r="A548" t="s">
        <v>2880</v>
      </c>
      <c r="B548" t="s">
        <v>1353</v>
      </c>
      <c r="C548" t="s">
        <v>3800</v>
      </c>
      <c r="D548" t="s">
        <v>4111</v>
      </c>
      <c r="E548" t="s">
        <v>2223</v>
      </c>
      <c r="F548" s="1" t="str">
        <f>HYPERLINK("http://ovidsp.ovid.com/ovidweb.cgi?T=JS&amp;NEWS=n&amp;CSC=Y&amp;PAGE=booktext&amp;D=books&amp;AN=01382825$&amp;XPATH=/PG(0)&amp;EPUB=Y","http://ovidsp.ovid.com/ovidweb.cgi?T=JS&amp;NEWS=n&amp;CSC=Y&amp;PAGE=booktext&amp;D=books&amp;AN=01382825$&amp;XPATH=/PG(0)&amp;EPUB=Y")</f>
        <v>http://ovidsp.ovid.com/ovidweb.cgi?T=JS&amp;NEWS=n&amp;CSC=Y&amp;PAGE=booktext&amp;D=books&amp;AN=01382825$&amp;XPATH=/PG(0)&amp;EPUB=Y</v>
      </c>
      <c r="G548" t="s">
        <v>2139</v>
      </c>
      <c r="H548" t="s">
        <v>2974</v>
      </c>
      <c r="I548">
        <v>1206726</v>
      </c>
      <c r="J548" t="s">
        <v>3263</v>
      </c>
      <c r="K548" t="s">
        <v>1048</v>
      </c>
    </row>
    <row r="549" spans="1:11" x14ac:dyDescent="0.3">
      <c r="A549" t="s">
        <v>86</v>
      </c>
      <c r="B549" t="s">
        <v>2508</v>
      </c>
      <c r="C549" t="s">
        <v>3155</v>
      </c>
      <c r="D549" t="s">
        <v>4111</v>
      </c>
      <c r="E549" t="s">
        <v>2223</v>
      </c>
      <c r="F549" s="1" t="str">
        <f>HYPERLINK("http://ovidsp.ovid.com/ovidweb.cgi?T=JS&amp;NEWS=n&amp;CSC=Y&amp;PAGE=booktext&amp;D=books&amp;AN=01382826$&amp;XPATH=/PG(0)&amp;EPUB=Y","http://ovidsp.ovid.com/ovidweb.cgi?T=JS&amp;NEWS=n&amp;CSC=Y&amp;PAGE=booktext&amp;D=books&amp;AN=01382826$&amp;XPATH=/PG(0)&amp;EPUB=Y")</f>
        <v>http://ovidsp.ovid.com/ovidweb.cgi?T=JS&amp;NEWS=n&amp;CSC=Y&amp;PAGE=booktext&amp;D=books&amp;AN=01382826$&amp;XPATH=/PG(0)&amp;EPUB=Y</v>
      </c>
      <c r="G549" t="s">
        <v>2139</v>
      </c>
      <c r="H549" t="s">
        <v>2974</v>
      </c>
      <c r="I549">
        <v>1206726</v>
      </c>
      <c r="J549" t="s">
        <v>3263</v>
      </c>
      <c r="K549" t="s">
        <v>2122</v>
      </c>
    </row>
    <row r="550" spans="1:11" x14ac:dyDescent="0.3">
      <c r="A550" t="s">
        <v>1657</v>
      </c>
      <c r="B550" t="s">
        <v>4078</v>
      </c>
      <c r="C550" t="s">
        <v>1881</v>
      </c>
      <c r="D550" t="s">
        <v>4111</v>
      </c>
      <c r="E550" t="s">
        <v>4250</v>
      </c>
      <c r="F550" s="1" t="str">
        <f>HYPERLINK("http://ovidsp.ovid.com/ovidweb.cgi?T=JS&amp;NEWS=n&amp;CSC=Y&amp;PAGE=booktext&amp;D=books&amp;AN=01412563$&amp;XPATH=/PG(0)&amp;EPUB=Y","http://ovidsp.ovid.com/ovidweb.cgi?T=JS&amp;NEWS=n&amp;CSC=Y&amp;PAGE=booktext&amp;D=books&amp;AN=01412563$&amp;XPATH=/PG(0)&amp;EPUB=Y")</f>
        <v>http://ovidsp.ovid.com/ovidweb.cgi?T=JS&amp;NEWS=n&amp;CSC=Y&amp;PAGE=booktext&amp;D=books&amp;AN=01412563$&amp;XPATH=/PG(0)&amp;EPUB=Y</v>
      </c>
      <c r="G550" t="s">
        <v>2139</v>
      </c>
      <c r="H550" t="s">
        <v>2974</v>
      </c>
      <c r="I550">
        <v>1206726</v>
      </c>
      <c r="J550" t="s">
        <v>3263</v>
      </c>
      <c r="K550" t="s">
        <v>1515</v>
      </c>
    </row>
    <row r="551" spans="1:11" x14ac:dyDescent="0.3">
      <c r="A551" t="s">
        <v>2217</v>
      </c>
      <c r="B551" t="s">
        <v>3174</v>
      </c>
      <c r="C551" t="s">
        <v>2320</v>
      </c>
      <c r="D551" t="s">
        <v>4111</v>
      </c>
      <c r="E551" t="s">
        <v>2223</v>
      </c>
      <c r="F551" s="1" t="str">
        <f>HYPERLINK("http://ovidsp.ovid.com/ovidweb.cgi?T=JS&amp;NEWS=n&amp;CSC=Y&amp;PAGE=booktext&amp;D=books&amp;AN=01337526$&amp;XPATH=/PG(0)&amp;EPUB=Y","http://ovidsp.ovid.com/ovidweb.cgi?T=JS&amp;NEWS=n&amp;CSC=Y&amp;PAGE=booktext&amp;D=books&amp;AN=01337526$&amp;XPATH=/PG(0)&amp;EPUB=Y")</f>
        <v>http://ovidsp.ovid.com/ovidweb.cgi?T=JS&amp;NEWS=n&amp;CSC=Y&amp;PAGE=booktext&amp;D=books&amp;AN=01337526$&amp;XPATH=/PG(0)&amp;EPUB=Y</v>
      </c>
      <c r="G551" t="s">
        <v>2139</v>
      </c>
      <c r="H551" t="s">
        <v>2974</v>
      </c>
      <c r="I551">
        <v>1206726</v>
      </c>
      <c r="J551" t="s">
        <v>3263</v>
      </c>
      <c r="K551" t="s">
        <v>2163</v>
      </c>
    </row>
    <row r="552" spans="1:11" x14ac:dyDescent="0.3">
      <c r="A552" t="s">
        <v>3358</v>
      </c>
      <c r="B552" t="s">
        <v>3512</v>
      </c>
      <c r="C552" t="s">
        <v>1893</v>
      </c>
      <c r="D552" t="s">
        <v>4111</v>
      </c>
      <c r="E552" t="s">
        <v>1104</v>
      </c>
      <c r="F552" s="1" t="str">
        <f>HYPERLINK("http://ovidsp.ovid.com/ovidweb.cgi?T=JS&amp;NEWS=n&amp;CSC=Y&amp;PAGE=booktext&amp;D=books&amp;AN=01337673$&amp;XPATH=/PG(0)&amp;EPUB=Y","http://ovidsp.ovid.com/ovidweb.cgi?T=JS&amp;NEWS=n&amp;CSC=Y&amp;PAGE=booktext&amp;D=books&amp;AN=01337673$&amp;XPATH=/PG(0)&amp;EPUB=Y")</f>
        <v>http://ovidsp.ovid.com/ovidweb.cgi?T=JS&amp;NEWS=n&amp;CSC=Y&amp;PAGE=booktext&amp;D=books&amp;AN=01337673$&amp;XPATH=/PG(0)&amp;EPUB=Y</v>
      </c>
      <c r="G552" t="s">
        <v>2139</v>
      </c>
      <c r="H552" t="s">
        <v>2974</v>
      </c>
      <c r="I552">
        <v>1206726</v>
      </c>
      <c r="J552" t="s">
        <v>3263</v>
      </c>
      <c r="K552" t="s">
        <v>3918</v>
      </c>
    </row>
    <row r="553" spans="1:11" x14ac:dyDescent="0.3">
      <c r="A553" t="s">
        <v>98</v>
      </c>
      <c r="B553" t="s">
        <v>2568</v>
      </c>
      <c r="C553" t="s">
        <v>423</v>
      </c>
      <c r="D553" t="s">
        <v>4111</v>
      </c>
      <c r="E553" t="s">
        <v>2876</v>
      </c>
      <c r="F553" s="1" t="str">
        <f>HYPERLINK("http://ovidsp.ovid.com/ovidweb.cgi?T=JS&amp;NEWS=n&amp;CSC=Y&amp;PAGE=booktext&amp;D=books&amp;AN=01436276$&amp;XPATH=/PG(0)&amp;EPUB=Y","http://ovidsp.ovid.com/ovidweb.cgi?T=JS&amp;NEWS=n&amp;CSC=Y&amp;PAGE=booktext&amp;D=books&amp;AN=01436276$&amp;XPATH=/PG(0)&amp;EPUB=Y")</f>
        <v>http://ovidsp.ovid.com/ovidweb.cgi?T=JS&amp;NEWS=n&amp;CSC=Y&amp;PAGE=booktext&amp;D=books&amp;AN=01436276$&amp;XPATH=/PG(0)&amp;EPUB=Y</v>
      </c>
      <c r="G553" t="s">
        <v>2139</v>
      </c>
      <c r="H553" t="s">
        <v>2974</v>
      </c>
      <c r="I553">
        <v>1206726</v>
      </c>
      <c r="J553" t="s">
        <v>3263</v>
      </c>
      <c r="K553" t="s">
        <v>2594</v>
      </c>
    </row>
    <row r="554" spans="1:11" x14ac:dyDescent="0.3">
      <c r="A554" t="s">
        <v>533</v>
      </c>
      <c r="B554" t="s">
        <v>4129</v>
      </c>
      <c r="C554" t="s">
        <v>108</v>
      </c>
      <c r="D554" t="s">
        <v>4111</v>
      </c>
      <c r="E554" t="s">
        <v>2876</v>
      </c>
      <c r="F554" s="1" t="str">
        <f>HYPERLINK("http://ovidsp.ovid.com/ovidweb.cgi?T=JS&amp;NEWS=n&amp;CSC=Y&amp;PAGE=booktext&amp;D=books&amp;AN=01438865$&amp;XPATH=/PG(0)&amp;EPUB=Y","http://ovidsp.ovid.com/ovidweb.cgi?T=JS&amp;NEWS=n&amp;CSC=Y&amp;PAGE=booktext&amp;D=books&amp;AN=01438865$&amp;XPATH=/PG(0)&amp;EPUB=Y")</f>
        <v>http://ovidsp.ovid.com/ovidweb.cgi?T=JS&amp;NEWS=n&amp;CSC=Y&amp;PAGE=booktext&amp;D=books&amp;AN=01438865$&amp;XPATH=/PG(0)&amp;EPUB=Y</v>
      </c>
      <c r="G554" t="s">
        <v>2139</v>
      </c>
      <c r="H554" t="s">
        <v>2974</v>
      </c>
      <c r="I554">
        <v>1206726</v>
      </c>
      <c r="J554" t="s">
        <v>3263</v>
      </c>
      <c r="K554" t="s">
        <v>4570</v>
      </c>
    </row>
    <row r="555" spans="1:11" x14ac:dyDescent="0.3">
      <c r="A555" t="s">
        <v>4530</v>
      </c>
      <c r="B555" t="s">
        <v>378</v>
      </c>
      <c r="C555" t="s">
        <v>3690</v>
      </c>
      <c r="D555" t="s">
        <v>4111</v>
      </c>
      <c r="E555" t="s">
        <v>2970</v>
      </c>
      <c r="F555" s="1" t="str">
        <f>HYPERLINK("http://ovidsp.ovid.com/ovidweb.cgi?T=JS&amp;NEWS=n&amp;CSC=Y&amp;PAGE=booktext&amp;D=books&amp;AN=01279708$&amp;XPATH=/PG(0)&amp;EPUB=Y","http://ovidsp.ovid.com/ovidweb.cgi?T=JS&amp;NEWS=n&amp;CSC=Y&amp;PAGE=booktext&amp;D=books&amp;AN=01279708$&amp;XPATH=/PG(0)&amp;EPUB=Y")</f>
        <v>http://ovidsp.ovid.com/ovidweb.cgi?T=JS&amp;NEWS=n&amp;CSC=Y&amp;PAGE=booktext&amp;D=books&amp;AN=01279708$&amp;XPATH=/PG(0)&amp;EPUB=Y</v>
      </c>
      <c r="G555" t="s">
        <v>2139</v>
      </c>
      <c r="H555" t="s">
        <v>2974</v>
      </c>
      <c r="I555">
        <v>1206726</v>
      </c>
      <c r="J555" t="s">
        <v>3263</v>
      </c>
      <c r="K555" t="s">
        <v>897</v>
      </c>
    </row>
    <row r="556" spans="1:11" x14ac:dyDescent="0.3">
      <c r="A556" t="s">
        <v>2632</v>
      </c>
      <c r="B556" t="s">
        <v>926</v>
      </c>
      <c r="C556" t="s">
        <v>47</v>
      </c>
      <c r="D556" t="s">
        <v>4111</v>
      </c>
      <c r="E556" t="s">
        <v>2565</v>
      </c>
      <c r="F556" s="1" t="str">
        <f>HYPERLINK("http://ovidsp.ovid.com/ovidweb.cgi?T=JS&amp;NEWS=n&amp;CSC=Y&amp;PAGE=booktext&amp;D=books&amp;AN=01273127$&amp;XPATH=/PG(0)&amp;EPUB=Y","http://ovidsp.ovid.com/ovidweb.cgi?T=JS&amp;NEWS=n&amp;CSC=Y&amp;PAGE=booktext&amp;D=books&amp;AN=01273127$&amp;XPATH=/PG(0)&amp;EPUB=Y")</f>
        <v>http://ovidsp.ovid.com/ovidweb.cgi?T=JS&amp;NEWS=n&amp;CSC=Y&amp;PAGE=booktext&amp;D=books&amp;AN=01273127$&amp;XPATH=/PG(0)&amp;EPUB=Y</v>
      </c>
      <c r="G556" t="s">
        <v>2139</v>
      </c>
      <c r="H556" t="s">
        <v>2974</v>
      </c>
      <c r="I556">
        <v>1206726</v>
      </c>
      <c r="J556" t="s">
        <v>3263</v>
      </c>
      <c r="K556" t="s">
        <v>2162</v>
      </c>
    </row>
    <row r="557" spans="1:11" x14ac:dyDescent="0.3">
      <c r="A557" t="s">
        <v>1133</v>
      </c>
      <c r="B557" t="s">
        <v>2245</v>
      </c>
      <c r="C557" t="s">
        <v>3895</v>
      </c>
      <c r="D557" t="s">
        <v>4111</v>
      </c>
      <c r="E557" t="s">
        <v>3051</v>
      </c>
      <c r="F557" s="1" t="str">
        <f>HYPERLINK("http://ovidsp.ovid.com/ovidweb.cgi?T=JS&amp;NEWS=n&amp;CSC=Y&amp;PAGE=booktext&amp;D=books&amp;AN=01382648$&amp;XPATH=/PG(0)&amp;EPUB=Y","http://ovidsp.ovid.com/ovidweb.cgi?T=JS&amp;NEWS=n&amp;CSC=Y&amp;PAGE=booktext&amp;D=books&amp;AN=01382648$&amp;XPATH=/PG(0)&amp;EPUB=Y")</f>
        <v>http://ovidsp.ovid.com/ovidweb.cgi?T=JS&amp;NEWS=n&amp;CSC=Y&amp;PAGE=booktext&amp;D=books&amp;AN=01382648$&amp;XPATH=/PG(0)&amp;EPUB=Y</v>
      </c>
      <c r="G557" t="s">
        <v>2139</v>
      </c>
      <c r="H557" t="s">
        <v>2974</v>
      </c>
      <c r="I557">
        <v>1206726</v>
      </c>
      <c r="J557" t="s">
        <v>3263</v>
      </c>
      <c r="K557" t="s">
        <v>1101</v>
      </c>
    </row>
    <row r="558" spans="1:11" x14ac:dyDescent="0.3">
      <c r="A558" t="s">
        <v>3594</v>
      </c>
      <c r="B558" t="s">
        <v>4356</v>
      </c>
      <c r="C558" t="s">
        <v>3477</v>
      </c>
      <c r="D558" t="s">
        <v>4111</v>
      </c>
      <c r="E558" t="s">
        <v>2565</v>
      </c>
      <c r="F558" s="1" t="str">
        <f>HYPERLINK("http://ovidsp.ovid.com/ovidweb.cgi?T=JS&amp;NEWS=n&amp;CSC=Y&amp;PAGE=booktext&amp;D=books&amp;AN=01435759$&amp;XPATH=/PG(0)&amp;EPUB=Y","http://ovidsp.ovid.com/ovidweb.cgi?T=JS&amp;NEWS=n&amp;CSC=Y&amp;PAGE=booktext&amp;D=books&amp;AN=01435759$&amp;XPATH=/PG(0)&amp;EPUB=Y")</f>
        <v>http://ovidsp.ovid.com/ovidweb.cgi?T=JS&amp;NEWS=n&amp;CSC=Y&amp;PAGE=booktext&amp;D=books&amp;AN=01435759$&amp;XPATH=/PG(0)&amp;EPUB=Y</v>
      </c>
      <c r="G558" t="s">
        <v>2139</v>
      </c>
      <c r="H558" t="s">
        <v>2974</v>
      </c>
      <c r="I558">
        <v>1206726</v>
      </c>
      <c r="J558" t="s">
        <v>3263</v>
      </c>
      <c r="K558" t="s">
        <v>2827</v>
      </c>
    </row>
    <row r="559" spans="1:11" x14ac:dyDescent="0.3">
      <c r="A559" t="s">
        <v>3400</v>
      </c>
      <c r="B559" t="s">
        <v>3103</v>
      </c>
      <c r="C559" t="s">
        <v>963</v>
      </c>
      <c r="D559" t="s">
        <v>4111</v>
      </c>
      <c r="E559" t="s">
        <v>3051</v>
      </c>
      <c r="F559" s="1" t="str">
        <f>HYPERLINK("http://ovidsp.ovid.com/ovidweb.cgi?T=JS&amp;NEWS=n&amp;CSC=Y&amp;PAGE=booktext&amp;D=books&amp;AN=00140034$&amp;XPATH=/PG(0)&amp;EPUB=Y","http://ovidsp.ovid.com/ovidweb.cgi?T=JS&amp;NEWS=n&amp;CSC=Y&amp;PAGE=booktext&amp;D=books&amp;AN=00140034$&amp;XPATH=/PG(0)&amp;EPUB=Y")</f>
        <v>http://ovidsp.ovid.com/ovidweb.cgi?T=JS&amp;NEWS=n&amp;CSC=Y&amp;PAGE=booktext&amp;D=books&amp;AN=00140034$&amp;XPATH=/PG(0)&amp;EPUB=Y</v>
      </c>
      <c r="G559" t="s">
        <v>2139</v>
      </c>
      <c r="H559" t="s">
        <v>2974</v>
      </c>
      <c r="I559">
        <v>1206726</v>
      </c>
      <c r="J559" t="s">
        <v>3263</v>
      </c>
      <c r="K559" t="s">
        <v>4473</v>
      </c>
    </row>
    <row r="560" spans="1:11" x14ac:dyDescent="0.3">
      <c r="A560" t="s">
        <v>1719</v>
      </c>
      <c r="B560" t="s">
        <v>362</v>
      </c>
      <c r="C560" t="s">
        <v>2177</v>
      </c>
      <c r="D560" t="s">
        <v>4111</v>
      </c>
      <c r="E560" t="s">
        <v>2876</v>
      </c>
      <c r="F560" s="1" t="str">
        <f>HYPERLINK("http://ovidsp.ovid.com/ovidweb.cgi?T=JS&amp;NEWS=n&amp;CSC=Y&amp;PAGE=booktext&amp;D=books&amp;AN=01787255$&amp;XPATH=/PG(0)&amp;EPUB=Y","http://ovidsp.ovid.com/ovidweb.cgi?T=JS&amp;NEWS=n&amp;CSC=Y&amp;PAGE=booktext&amp;D=books&amp;AN=01787255$&amp;XPATH=/PG(0)&amp;EPUB=Y")</f>
        <v>http://ovidsp.ovid.com/ovidweb.cgi?T=JS&amp;NEWS=n&amp;CSC=Y&amp;PAGE=booktext&amp;D=books&amp;AN=01787255$&amp;XPATH=/PG(0)&amp;EPUB=Y</v>
      </c>
      <c r="G560" t="s">
        <v>2139</v>
      </c>
      <c r="H560" t="s">
        <v>2974</v>
      </c>
      <c r="I560">
        <v>1206726</v>
      </c>
      <c r="J560" t="s">
        <v>3263</v>
      </c>
      <c r="K560" t="s">
        <v>2531</v>
      </c>
    </row>
    <row r="561" spans="1:11" x14ac:dyDescent="0.3">
      <c r="A561" t="s">
        <v>669</v>
      </c>
      <c r="B561" t="s">
        <v>40</v>
      </c>
      <c r="C561" t="s">
        <v>4176</v>
      </c>
      <c r="D561" t="s">
        <v>4111</v>
      </c>
      <c r="E561" t="s">
        <v>2876</v>
      </c>
      <c r="F561" s="1" t="str">
        <f>HYPERLINK("http://ovidsp.ovid.com/ovidweb.cgi?T=JS&amp;NEWS=n&amp;CSC=Y&amp;PAGE=booktext&amp;D=books&amp;AN=01382524$&amp;XPATH=/PG(0)&amp;EPUB=Y","http://ovidsp.ovid.com/ovidweb.cgi?T=JS&amp;NEWS=n&amp;CSC=Y&amp;PAGE=booktext&amp;D=books&amp;AN=01382524$&amp;XPATH=/PG(0)&amp;EPUB=Y")</f>
        <v>http://ovidsp.ovid.com/ovidweb.cgi?T=JS&amp;NEWS=n&amp;CSC=Y&amp;PAGE=booktext&amp;D=books&amp;AN=01382524$&amp;XPATH=/PG(0)&amp;EPUB=Y</v>
      </c>
      <c r="G561" t="s">
        <v>2139</v>
      </c>
      <c r="H561" t="s">
        <v>2974</v>
      </c>
      <c r="I561">
        <v>1206726</v>
      </c>
      <c r="J561" t="s">
        <v>3263</v>
      </c>
      <c r="K561" t="s">
        <v>743</v>
      </c>
    </row>
    <row r="562" spans="1:11" x14ac:dyDescent="0.3">
      <c r="A562" t="s">
        <v>4721</v>
      </c>
      <c r="B562" t="s">
        <v>206</v>
      </c>
      <c r="C562" t="s">
        <v>4406</v>
      </c>
      <c r="D562" t="s">
        <v>4111</v>
      </c>
      <c r="E562" t="s">
        <v>404</v>
      </c>
      <c r="F562" s="1" t="str">
        <f>HYPERLINK("http://ovidsp.ovid.com/ovidweb.cgi?T=JS&amp;NEWS=n&amp;CSC=Y&amp;PAGE=booktext&amp;D=books&amp;AN=01382582$&amp;XPATH=/PG(0)&amp;EPUB=Y","http://ovidsp.ovid.com/ovidweb.cgi?T=JS&amp;NEWS=n&amp;CSC=Y&amp;PAGE=booktext&amp;D=books&amp;AN=01382582$&amp;XPATH=/PG(0)&amp;EPUB=Y")</f>
        <v>http://ovidsp.ovid.com/ovidweb.cgi?T=JS&amp;NEWS=n&amp;CSC=Y&amp;PAGE=booktext&amp;D=books&amp;AN=01382582$&amp;XPATH=/PG(0)&amp;EPUB=Y</v>
      </c>
      <c r="G562" t="s">
        <v>2139</v>
      </c>
      <c r="H562" t="s">
        <v>2974</v>
      </c>
      <c r="I562">
        <v>1206726</v>
      </c>
      <c r="J562" t="s">
        <v>3263</v>
      </c>
      <c r="K562" t="s">
        <v>444</v>
      </c>
    </row>
    <row r="563" spans="1:11" x14ac:dyDescent="0.3">
      <c r="A563" t="s">
        <v>3237</v>
      </c>
      <c r="B563" t="s">
        <v>514</v>
      </c>
      <c r="C563" t="s">
        <v>2333</v>
      </c>
      <c r="D563" t="s">
        <v>4111</v>
      </c>
      <c r="E563" t="s">
        <v>2223</v>
      </c>
      <c r="F563" s="1" t="str">
        <f>HYPERLINK("http://ovidsp.ovid.com/ovidweb.cgi?T=JS&amp;NEWS=n&amp;CSC=Y&amp;PAGE=booktext&amp;D=books&amp;AN=01279768$&amp;XPATH=/PG(0)&amp;EPUB=Y","http://ovidsp.ovid.com/ovidweb.cgi?T=JS&amp;NEWS=n&amp;CSC=Y&amp;PAGE=booktext&amp;D=books&amp;AN=01279768$&amp;XPATH=/PG(0)&amp;EPUB=Y")</f>
        <v>http://ovidsp.ovid.com/ovidweb.cgi?T=JS&amp;NEWS=n&amp;CSC=Y&amp;PAGE=booktext&amp;D=books&amp;AN=01279768$&amp;XPATH=/PG(0)&amp;EPUB=Y</v>
      </c>
      <c r="G563" t="s">
        <v>2139</v>
      </c>
      <c r="H563" t="s">
        <v>2974</v>
      </c>
      <c r="I563">
        <v>1206726</v>
      </c>
      <c r="J563" t="s">
        <v>3263</v>
      </c>
      <c r="K563" t="s">
        <v>4016</v>
      </c>
    </row>
    <row r="564" spans="1:11" x14ac:dyDescent="0.3">
      <c r="A564" t="s">
        <v>544</v>
      </c>
      <c r="B564" t="s">
        <v>788</v>
      </c>
      <c r="C564" t="s">
        <v>147</v>
      </c>
      <c r="D564" t="s">
        <v>4111</v>
      </c>
      <c r="E564" t="s">
        <v>2565</v>
      </c>
      <c r="F564" s="1" t="str">
        <f>HYPERLINK("http://ovidsp.ovid.com/ovidweb.cgi?T=JS&amp;NEWS=n&amp;CSC=Y&amp;PAGE=booktext&amp;D=books&amp;AN=01337349$&amp;XPATH=/PG(0)&amp;EPUB=Y","http://ovidsp.ovid.com/ovidweb.cgi?T=JS&amp;NEWS=n&amp;CSC=Y&amp;PAGE=booktext&amp;D=books&amp;AN=01337349$&amp;XPATH=/PG(0)&amp;EPUB=Y")</f>
        <v>http://ovidsp.ovid.com/ovidweb.cgi?T=JS&amp;NEWS=n&amp;CSC=Y&amp;PAGE=booktext&amp;D=books&amp;AN=01337349$&amp;XPATH=/PG(0)&amp;EPUB=Y</v>
      </c>
      <c r="G564" t="s">
        <v>2139</v>
      </c>
      <c r="H564" t="s">
        <v>2974</v>
      </c>
      <c r="I564">
        <v>1206726</v>
      </c>
      <c r="J564" t="s">
        <v>3263</v>
      </c>
      <c r="K564" t="s">
        <v>3615</v>
      </c>
    </row>
    <row r="565" spans="1:11" x14ac:dyDescent="0.3">
      <c r="A565" t="s">
        <v>3346</v>
      </c>
      <c r="B565" t="s">
        <v>279</v>
      </c>
      <c r="C565" t="s">
        <v>1044</v>
      </c>
      <c r="D565" t="s">
        <v>4111</v>
      </c>
      <c r="E565" t="s">
        <v>2223</v>
      </c>
      <c r="F565" s="1" t="str">
        <f>HYPERLINK("http://ovidsp.ovid.com/ovidweb.cgi?T=JS&amp;NEWS=n&amp;CSC=Y&amp;PAGE=booktext&amp;D=books&amp;AN=01435760$&amp;XPATH=/PG(0)&amp;EPUB=Y","http://ovidsp.ovid.com/ovidweb.cgi?T=JS&amp;NEWS=n&amp;CSC=Y&amp;PAGE=booktext&amp;D=books&amp;AN=01435760$&amp;XPATH=/PG(0)&amp;EPUB=Y")</f>
        <v>http://ovidsp.ovid.com/ovidweb.cgi?T=JS&amp;NEWS=n&amp;CSC=Y&amp;PAGE=booktext&amp;D=books&amp;AN=01435760$&amp;XPATH=/PG(0)&amp;EPUB=Y</v>
      </c>
      <c r="G565" t="s">
        <v>2139</v>
      </c>
      <c r="H565" t="s">
        <v>2974</v>
      </c>
      <c r="I565">
        <v>1206726</v>
      </c>
      <c r="J565" t="s">
        <v>3263</v>
      </c>
      <c r="K565" t="s">
        <v>1805</v>
      </c>
    </row>
    <row r="566" spans="1:11" x14ac:dyDescent="0.3">
      <c r="A566" t="s">
        <v>1335</v>
      </c>
      <c r="B566" t="s">
        <v>2955</v>
      </c>
      <c r="C566" t="s">
        <v>4140</v>
      </c>
      <c r="D566" t="s">
        <v>4111</v>
      </c>
      <c r="E566" t="s">
        <v>3051</v>
      </c>
      <c r="F566" s="1" t="str">
        <f>HYPERLINK("http://ovidsp.ovid.com/ovidweb.cgi?T=JS&amp;NEWS=n&amp;CSC=Y&amp;PAGE=booktext&amp;D=books&amp;AN=01273126$&amp;XPATH=/PG(0)&amp;EPUB=Y","http://ovidsp.ovid.com/ovidweb.cgi?T=JS&amp;NEWS=n&amp;CSC=Y&amp;PAGE=booktext&amp;D=books&amp;AN=01273126$&amp;XPATH=/PG(0)&amp;EPUB=Y")</f>
        <v>http://ovidsp.ovid.com/ovidweb.cgi?T=JS&amp;NEWS=n&amp;CSC=Y&amp;PAGE=booktext&amp;D=books&amp;AN=01273126$&amp;XPATH=/PG(0)&amp;EPUB=Y</v>
      </c>
      <c r="G566" t="s">
        <v>2139</v>
      </c>
      <c r="H566" t="s">
        <v>2974</v>
      </c>
      <c r="I566">
        <v>1206726</v>
      </c>
      <c r="J566" t="s">
        <v>3263</v>
      </c>
      <c r="K566" t="s">
        <v>4097</v>
      </c>
    </row>
    <row r="567" spans="1:11" x14ac:dyDescent="0.3">
      <c r="A567" t="s">
        <v>2966</v>
      </c>
      <c r="B567" t="s">
        <v>2770</v>
      </c>
      <c r="C567" t="s">
        <v>1644</v>
      </c>
      <c r="D567" t="s">
        <v>4111</v>
      </c>
      <c r="E567" t="s">
        <v>2223</v>
      </c>
      <c r="F567" s="1" t="str">
        <f>HYPERLINK("http://ovidsp.ovid.com/ovidweb.cgi?T=JS&amp;NEWS=n&amp;CSC=Y&amp;PAGE=booktext&amp;D=books&amp;AN=01720600$&amp;XPATH=/PG(0)&amp;EPUB=Y","http://ovidsp.ovid.com/ovidweb.cgi?T=JS&amp;NEWS=n&amp;CSC=Y&amp;PAGE=booktext&amp;D=books&amp;AN=01720600$&amp;XPATH=/PG(0)&amp;EPUB=Y")</f>
        <v>http://ovidsp.ovid.com/ovidweb.cgi?T=JS&amp;NEWS=n&amp;CSC=Y&amp;PAGE=booktext&amp;D=books&amp;AN=01720600$&amp;XPATH=/PG(0)&amp;EPUB=Y</v>
      </c>
      <c r="G567" t="s">
        <v>2139</v>
      </c>
      <c r="H567" t="s">
        <v>2974</v>
      </c>
      <c r="I567">
        <v>1206726</v>
      </c>
      <c r="J567" t="s">
        <v>3263</v>
      </c>
      <c r="K567" t="s">
        <v>2022</v>
      </c>
    </row>
    <row r="568" spans="1:11" x14ac:dyDescent="0.3">
      <c r="A568" t="s">
        <v>2966</v>
      </c>
      <c r="B568" t="s">
        <v>1258</v>
      </c>
      <c r="C568" t="s">
        <v>2665</v>
      </c>
      <c r="D568" t="s">
        <v>4111</v>
      </c>
      <c r="E568" t="s">
        <v>404</v>
      </c>
      <c r="F568" s="1" t="str">
        <f>HYPERLINK("http://ovidsp.ovid.com/ovidweb.cgi?T=JS&amp;NEWS=n&amp;CSC=Y&amp;PAGE=booktext&amp;D=books&amp;AN=01912976$&amp;XPATH=/PG(0)&amp;EPUB=Y","http://ovidsp.ovid.com/ovidweb.cgi?T=JS&amp;NEWS=n&amp;CSC=Y&amp;PAGE=booktext&amp;D=books&amp;AN=01912976$&amp;XPATH=/PG(0)&amp;EPUB=Y")</f>
        <v>http://ovidsp.ovid.com/ovidweb.cgi?T=JS&amp;NEWS=n&amp;CSC=Y&amp;PAGE=booktext&amp;D=books&amp;AN=01912976$&amp;XPATH=/PG(0)&amp;EPUB=Y</v>
      </c>
      <c r="G568" t="s">
        <v>2139</v>
      </c>
      <c r="H568" t="s">
        <v>2974</v>
      </c>
      <c r="I568">
        <v>1206726</v>
      </c>
      <c r="J568" t="s">
        <v>3263</v>
      </c>
      <c r="K568" t="s">
        <v>4125</v>
      </c>
    </row>
    <row r="569" spans="1:11" x14ac:dyDescent="0.3">
      <c r="A569" t="s">
        <v>4505</v>
      </c>
      <c r="B569" t="s">
        <v>4427</v>
      </c>
      <c r="C569" t="s">
        <v>1068</v>
      </c>
      <c r="D569" t="s">
        <v>4111</v>
      </c>
      <c r="E569" t="s">
        <v>2565</v>
      </c>
      <c r="F569" s="1" t="str">
        <f>HYPERLINK("http://ovidsp.ovid.com/ovidweb.cgi?T=JS&amp;NEWS=n&amp;CSC=Y&amp;PAGE=booktext&amp;D=books&amp;AN=01735126$&amp;XPATH=/PG(0)&amp;EPUB=Y","http://ovidsp.ovid.com/ovidweb.cgi?T=JS&amp;NEWS=n&amp;CSC=Y&amp;PAGE=booktext&amp;D=books&amp;AN=01735126$&amp;XPATH=/PG(0)&amp;EPUB=Y")</f>
        <v>http://ovidsp.ovid.com/ovidweb.cgi?T=JS&amp;NEWS=n&amp;CSC=Y&amp;PAGE=booktext&amp;D=books&amp;AN=01735126$&amp;XPATH=/PG(0)&amp;EPUB=Y</v>
      </c>
      <c r="G569" t="s">
        <v>2139</v>
      </c>
      <c r="H569" t="s">
        <v>2974</v>
      </c>
      <c r="I569">
        <v>1206726</v>
      </c>
      <c r="J569" t="s">
        <v>3263</v>
      </c>
      <c r="K569" t="s">
        <v>2910</v>
      </c>
    </row>
    <row r="570" spans="1:11" x14ac:dyDescent="0.3">
      <c r="A570" t="s">
        <v>4505</v>
      </c>
      <c r="B570" t="s">
        <v>3420</v>
      </c>
      <c r="C570" t="s">
        <v>3069</v>
      </c>
      <c r="D570" t="s">
        <v>4111</v>
      </c>
      <c r="E570" t="s">
        <v>4250</v>
      </c>
      <c r="F570" s="1" t="str">
        <f>HYPERLINK("http://ovidsp.ovid.com/ovidweb.cgi?T=JS&amp;NEWS=n&amp;CSC=Y&amp;PAGE=booktext&amp;D=books&amp;AN=01429607$&amp;XPATH=/PG(0)&amp;EPUB=Y","http://ovidsp.ovid.com/ovidweb.cgi?T=JS&amp;NEWS=n&amp;CSC=Y&amp;PAGE=booktext&amp;D=books&amp;AN=01429607$&amp;XPATH=/PG(0)&amp;EPUB=Y")</f>
        <v>http://ovidsp.ovid.com/ovidweb.cgi?T=JS&amp;NEWS=n&amp;CSC=Y&amp;PAGE=booktext&amp;D=books&amp;AN=01429607$&amp;XPATH=/PG(0)&amp;EPUB=Y</v>
      </c>
      <c r="G570" t="s">
        <v>2139</v>
      </c>
      <c r="H570" t="s">
        <v>2974</v>
      </c>
      <c r="I570">
        <v>1206726</v>
      </c>
      <c r="J570" t="s">
        <v>3263</v>
      </c>
      <c r="K570" t="s">
        <v>2449</v>
      </c>
    </row>
    <row r="571" spans="1:11" x14ac:dyDescent="0.3">
      <c r="A571" t="s">
        <v>2943</v>
      </c>
      <c r="B571" t="s">
        <v>2359</v>
      </c>
      <c r="C571" t="s">
        <v>1599</v>
      </c>
      <c r="D571" t="s">
        <v>4111</v>
      </c>
      <c r="E571" t="s">
        <v>2970</v>
      </c>
      <c r="F571" s="1" t="str">
        <f>HYPERLINK("http://ovidsp.ovid.com/ovidweb.cgi?T=JS&amp;NEWS=n&amp;CSC=Y&amp;PAGE=booktext&amp;D=books&amp;AN=01382843$&amp;XPATH=/PG(0)&amp;EPUB=Y","http://ovidsp.ovid.com/ovidweb.cgi?T=JS&amp;NEWS=n&amp;CSC=Y&amp;PAGE=booktext&amp;D=books&amp;AN=01382843$&amp;XPATH=/PG(0)&amp;EPUB=Y")</f>
        <v>http://ovidsp.ovid.com/ovidweb.cgi?T=JS&amp;NEWS=n&amp;CSC=Y&amp;PAGE=booktext&amp;D=books&amp;AN=01382843$&amp;XPATH=/PG(0)&amp;EPUB=Y</v>
      </c>
      <c r="G571" t="s">
        <v>2139</v>
      </c>
      <c r="H571" t="s">
        <v>2974</v>
      </c>
      <c r="I571">
        <v>1206726</v>
      </c>
      <c r="J571" t="s">
        <v>3263</v>
      </c>
      <c r="K571" t="s">
        <v>2821</v>
      </c>
    </row>
    <row r="572" spans="1:11" x14ac:dyDescent="0.3">
      <c r="A572" t="s">
        <v>2423</v>
      </c>
      <c r="B572" t="s">
        <v>4245</v>
      </c>
      <c r="C572" t="s">
        <v>2831</v>
      </c>
      <c r="D572" t="s">
        <v>4111</v>
      </c>
      <c r="E572" t="s">
        <v>1104</v>
      </c>
      <c r="F572" s="1" t="str">
        <f>HYPERLINK("http://ovidsp.ovid.com/ovidweb.cgi?T=JS&amp;NEWS=n&amp;CSC=Y&amp;PAGE=booktext&amp;D=books&amp;AN=01382845$&amp;XPATH=/PG(0)&amp;EPUB=Y","http://ovidsp.ovid.com/ovidweb.cgi?T=JS&amp;NEWS=n&amp;CSC=Y&amp;PAGE=booktext&amp;D=books&amp;AN=01382845$&amp;XPATH=/PG(0)&amp;EPUB=Y")</f>
        <v>http://ovidsp.ovid.com/ovidweb.cgi?T=JS&amp;NEWS=n&amp;CSC=Y&amp;PAGE=booktext&amp;D=books&amp;AN=01382845$&amp;XPATH=/PG(0)&amp;EPUB=Y</v>
      </c>
      <c r="G572" t="s">
        <v>2139</v>
      </c>
      <c r="H572" t="s">
        <v>2974</v>
      </c>
      <c r="I572">
        <v>1206726</v>
      </c>
      <c r="J572" t="s">
        <v>3263</v>
      </c>
      <c r="K572" t="s">
        <v>2443</v>
      </c>
    </row>
    <row r="573" spans="1:11" x14ac:dyDescent="0.3">
      <c r="A573" t="s">
        <v>1237</v>
      </c>
      <c r="B573" t="s">
        <v>2166</v>
      </c>
      <c r="C573" t="s">
        <v>87</v>
      </c>
      <c r="D573" t="s">
        <v>4111</v>
      </c>
      <c r="E573" t="s">
        <v>2223</v>
      </c>
      <c r="F573" s="1" t="str">
        <f>HYPERLINK("http://ovidsp.ovid.com/ovidweb.cgi?T=JS&amp;NEWS=n&amp;CSC=Y&amp;PAGE=booktext&amp;D=books&amp;AN=01382806$&amp;XPATH=/PG(0)&amp;EPUB=Y","http://ovidsp.ovid.com/ovidweb.cgi?T=JS&amp;NEWS=n&amp;CSC=Y&amp;PAGE=booktext&amp;D=books&amp;AN=01382806$&amp;XPATH=/PG(0)&amp;EPUB=Y")</f>
        <v>http://ovidsp.ovid.com/ovidweb.cgi?T=JS&amp;NEWS=n&amp;CSC=Y&amp;PAGE=booktext&amp;D=books&amp;AN=01382806$&amp;XPATH=/PG(0)&amp;EPUB=Y</v>
      </c>
      <c r="G573" t="s">
        <v>2139</v>
      </c>
      <c r="H573" t="s">
        <v>2974</v>
      </c>
      <c r="I573">
        <v>1206726</v>
      </c>
      <c r="J573" t="s">
        <v>3263</v>
      </c>
      <c r="K573" t="s">
        <v>2390</v>
      </c>
    </row>
    <row r="574" spans="1:11" x14ac:dyDescent="0.3">
      <c r="A574" t="s">
        <v>867</v>
      </c>
      <c r="B574" t="s">
        <v>726</v>
      </c>
      <c r="C574" t="s">
        <v>2276</v>
      </c>
      <c r="D574" t="s">
        <v>4111</v>
      </c>
      <c r="E574" t="s">
        <v>2223</v>
      </c>
      <c r="F574" s="1" t="str">
        <f>HYPERLINK("http://ovidsp.ovid.com/ovidweb.cgi?T=JS&amp;NEWS=n&amp;CSC=Y&amp;PAGE=booktext&amp;D=books&amp;AN=01273322$&amp;XPATH=/PG(0)&amp;EPUB=Y","http://ovidsp.ovid.com/ovidweb.cgi?T=JS&amp;NEWS=n&amp;CSC=Y&amp;PAGE=booktext&amp;D=books&amp;AN=01273322$&amp;XPATH=/PG(0)&amp;EPUB=Y")</f>
        <v>http://ovidsp.ovid.com/ovidweb.cgi?T=JS&amp;NEWS=n&amp;CSC=Y&amp;PAGE=booktext&amp;D=books&amp;AN=01273322$&amp;XPATH=/PG(0)&amp;EPUB=Y</v>
      </c>
      <c r="G574" t="s">
        <v>2139</v>
      </c>
      <c r="H574" t="s">
        <v>2974</v>
      </c>
      <c r="I574">
        <v>1206726</v>
      </c>
      <c r="J574" t="s">
        <v>3263</v>
      </c>
      <c r="K574" t="s">
        <v>578</v>
      </c>
    </row>
    <row r="575" spans="1:11" x14ac:dyDescent="0.3">
      <c r="A575" t="s">
        <v>169</v>
      </c>
      <c r="B575" t="s">
        <v>1890</v>
      </c>
      <c r="C575" t="s">
        <v>1784</v>
      </c>
      <c r="D575" t="s">
        <v>4111</v>
      </c>
      <c r="E575" t="s">
        <v>2223</v>
      </c>
      <c r="F575" s="1" t="str">
        <f>HYPERLINK("http://ovidsp.ovid.com/ovidweb.cgi?T=JS&amp;NEWS=n&amp;CSC=Y&amp;PAGE=booktext&amp;D=books&amp;AN=01382808$&amp;XPATH=/PG(0)&amp;EPUB=Y","http://ovidsp.ovid.com/ovidweb.cgi?T=JS&amp;NEWS=n&amp;CSC=Y&amp;PAGE=booktext&amp;D=books&amp;AN=01382808$&amp;XPATH=/PG(0)&amp;EPUB=Y")</f>
        <v>http://ovidsp.ovid.com/ovidweb.cgi?T=JS&amp;NEWS=n&amp;CSC=Y&amp;PAGE=booktext&amp;D=books&amp;AN=01382808$&amp;XPATH=/PG(0)&amp;EPUB=Y</v>
      </c>
      <c r="G575" t="s">
        <v>2139</v>
      </c>
      <c r="H575" t="s">
        <v>2974</v>
      </c>
      <c r="I575">
        <v>1206726</v>
      </c>
      <c r="J575" t="s">
        <v>3263</v>
      </c>
      <c r="K575" t="s">
        <v>3496</v>
      </c>
    </row>
    <row r="576" spans="1:11" x14ac:dyDescent="0.3">
      <c r="A576" t="s">
        <v>2586</v>
      </c>
      <c r="B576" t="s">
        <v>4499</v>
      </c>
      <c r="C576" t="s">
        <v>4249</v>
      </c>
      <c r="D576" t="s">
        <v>4111</v>
      </c>
      <c r="E576" t="s">
        <v>2223</v>
      </c>
      <c r="F576" s="1" t="str">
        <f>HYPERLINK("http://ovidsp.ovid.com/ovidweb.cgi?T=JS&amp;NEWS=n&amp;CSC=Y&amp;PAGE=booktext&amp;D=books&amp;AN=01382810$&amp;XPATH=/PG(0)&amp;EPUB=Y","http://ovidsp.ovid.com/ovidweb.cgi?T=JS&amp;NEWS=n&amp;CSC=Y&amp;PAGE=booktext&amp;D=books&amp;AN=01382810$&amp;XPATH=/PG(0)&amp;EPUB=Y")</f>
        <v>http://ovidsp.ovid.com/ovidweb.cgi?T=JS&amp;NEWS=n&amp;CSC=Y&amp;PAGE=booktext&amp;D=books&amp;AN=01382810$&amp;XPATH=/PG(0)&amp;EPUB=Y</v>
      </c>
      <c r="G576" t="s">
        <v>2139</v>
      </c>
      <c r="H576" t="s">
        <v>2974</v>
      </c>
      <c r="I576">
        <v>1206726</v>
      </c>
      <c r="J576" t="s">
        <v>3263</v>
      </c>
      <c r="K576" t="s">
        <v>3434</v>
      </c>
    </row>
    <row r="577" spans="1:11" x14ac:dyDescent="0.3">
      <c r="A577" t="s">
        <v>282</v>
      </c>
      <c r="B577" t="s">
        <v>3124</v>
      </c>
      <c r="C577" t="s">
        <v>1470</v>
      </c>
      <c r="D577" t="s">
        <v>4111</v>
      </c>
      <c r="E577" t="s">
        <v>2223</v>
      </c>
      <c r="F577" s="1" t="str">
        <f>HYPERLINK("http://ovidsp.ovid.com/ovidweb.cgi?T=JS&amp;NEWS=n&amp;CSC=Y&amp;PAGE=booktext&amp;D=books&amp;AN=01382821$&amp;XPATH=/PG(0)&amp;EPUB=Y","http://ovidsp.ovid.com/ovidweb.cgi?T=JS&amp;NEWS=n&amp;CSC=Y&amp;PAGE=booktext&amp;D=books&amp;AN=01382821$&amp;XPATH=/PG(0)&amp;EPUB=Y")</f>
        <v>http://ovidsp.ovid.com/ovidweb.cgi?T=JS&amp;NEWS=n&amp;CSC=Y&amp;PAGE=booktext&amp;D=books&amp;AN=01382821$&amp;XPATH=/PG(0)&amp;EPUB=Y</v>
      </c>
      <c r="G577" t="s">
        <v>2139</v>
      </c>
      <c r="H577" t="s">
        <v>2974</v>
      </c>
      <c r="I577">
        <v>1206726</v>
      </c>
      <c r="J577" t="s">
        <v>3263</v>
      </c>
      <c r="K577" t="s">
        <v>4391</v>
      </c>
    </row>
    <row r="578" spans="1:11" x14ac:dyDescent="0.3">
      <c r="A578" t="s">
        <v>42</v>
      </c>
      <c r="B578" t="s">
        <v>58</v>
      </c>
      <c r="C578" t="s">
        <v>264</v>
      </c>
      <c r="D578" t="s">
        <v>4111</v>
      </c>
      <c r="E578" t="s">
        <v>2223</v>
      </c>
      <c r="F578" s="1" t="str">
        <f>HYPERLINK("http://ovidsp.ovid.com/ovidweb.cgi?T=JS&amp;NEWS=n&amp;CSC=Y&amp;PAGE=booktext&amp;D=books&amp;AN=01382822$&amp;XPATH=/PG(0)&amp;EPUB=Y","http://ovidsp.ovid.com/ovidweb.cgi?T=JS&amp;NEWS=n&amp;CSC=Y&amp;PAGE=booktext&amp;D=books&amp;AN=01382822$&amp;XPATH=/PG(0)&amp;EPUB=Y")</f>
        <v>http://ovidsp.ovid.com/ovidweb.cgi?T=JS&amp;NEWS=n&amp;CSC=Y&amp;PAGE=booktext&amp;D=books&amp;AN=01382822$&amp;XPATH=/PG(0)&amp;EPUB=Y</v>
      </c>
      <c r="G578" t="s">
        <v>2139</v>
      </c>
      <c r="H578" t="s">
        <v>2974</v>
      </c>
      <c r="I578">
        <v>1206726</v>
      </c>
      <c r="J578" t="s">
        <v>3263</v>
      </c>
      <c r="K578" t="s">
        <v>3730</v>
      </c>
    </row>
    <row r="579" spans="1:11" x14ac:dyDescent="0.3">
      <c r="A579" t="s">
        <v>918</v>
      </c>
      <c r="B579" t="s">
        <v>2143</v>
      </c>
      <c r="C579" t="s">
        <v>288</v>
      </c>
      <c r="D579" t="s">
        <v>4111</v>
      </c>
      <c r="E579" t="s">
        <v>2223</v>
      </c>
      <c r="F579" s="1" t="str">
        <f>HYPERLINK("http://ovidsp.ovid.com/ovidweb.cgi?T=JS&amp;NEWS=n&amp;CSC=Y&amp;PAGE=booktext&amp;D=books&amp;AN=01376498$&amp;XPATH=/PG(0)&amp;EPUB=Y","http://ovidsp.ovid.com/ovidweb.cgi?T=JS&amp;NEWS=n&amp;CSC=Y&amp;PAGE=booktext&amp;D=books&amp;AN=01376498$&amp;XPATH=/PG(0)&amp;EPUB=Y")</f>
        <v>http://ovidsp.ovid.com/ovidweb.cgi?T=JS&amp;NEWS=n&amp;CSC=Y&amp;PAGE=booktext&amp;D=books&amp;AN=01376498$&amp;XPATH=/PG(0)&amp;EPUB=Y</v>
      </c>
      <c r="G579" t="s">
        <v>2139</v>
      </c>
      <c r="H579" t="s">
        <v>2974</v>
      </c>
      <c r="I579">
        <v>1206726</v>
      </c>
      <c r="J579" t="s">
        <v>3263</v>
      </c>
      <c r="K579" t="s">
        <v>1950</v>
      </c>
    </row>
    <row r="580" spans="1:11" x14ac:dyDescent="0.3">
      <c r="A580" t="s">
        <v>4715</v>
      </c>
      <c r="B580" t="s">
        <v>101</v>
      </c>
      <c r="C580" t="s">
        <v>4736</v>
      </c>
      <c r="D580" t="s">
        <v>4111</v>
      </c>
      <c r="E580" t="s">
        <v>2223</v>
      </c>
      <c r="F580" s="1" t="str">
        <f>HYPERLINK("http://ovidsp.ovid.com/ovidweb.cgi?T=JS&amp;NEWS=n&amp;CSC=Y&amp;PAGE=booktext&amp;D=books&amp;AN=01376499$&amp;XPATH=/PG(0)&amp;EPUB=Y","http://ovidsp.ovid.com/ovidweb.cgi?T=JS&amp;NEWS=n&amp;CSC=Y&amp;PAGE=booktext&amp;D=books&amp;AN=01376499$&amp;XPATH=/PG(0)&amp;EPUB=Y")</f>
        <v>http://ovidsp.ovid.com/ovidweb.cgi?T=JS&amp;NEWS=n&amp;CSC=Y&amp;PAGE=booktext&amp;D=books&amp;AN=01376499$&amp;XPATH=/PG(0)&amp;EPUB=Y</v>
      </c>
      <c r="G580" t="s">
        <v>2139</v>
      </c>
      <c r="H580" t="s">
        <v>2974</v>
      </c>
      <c r="I580">
        <v>1206726</v>
      </c>
      <c r="J580" t="s">
        <v>3263</v>
      </c>
      <c r="K580" t="s">
        <v>1820</v>
      </c>
    </row>
    <row r="581" spans="1:11" x14ac:dyDescent="0.3">
      <c r="A581" t="s">
        <v>126</v>
      </c>
      <c r="B581" t="s">
        <v>4722</v>
      </c>
      <c r="C581" t="s">
        <v>4712</v>
      </c>
      <c r="D581" t="s">
        <v>4111</v>
      </c>
      <c r="E581" t="s">
        <v>2223</v>
      </c>
      <c r="F581" s="1" t="str">
        <f>HYPERLINK("http://ovidsp.ovid.com/ovidweb.cgi?T=JS&amp;NEWS=n&amp;CSC=Y&amp;PAGE=booktext&amp;D=books&amp;AN=01382761$&amp;XPATH=/PG(0)&amp;EPUB=Y","http://ovidsp.ovid.com/ovidweb.cgi?T=JS&amp;NEWS=n&amp;CSC=Y&amp;PAGE=booktext&amp;D=books&amp;AN=01382761$&amp;XPATH=/PG(0)&amp;EPUB=Y")</f>
        <v>http://ovidsp.ovid.com/ovidweb.cgi?T=JS&amp;NEWS=n&amp;CSC=Y&amp;PAGE=booktext&amp;D=books&amp;AN=01382761$&amp;XPATH=/PG(0)&amp;EPUB=Y</v>
      </c>
      <c r="G581" t="s">
        <v>2139</v>
      </c>
      <c r="H581" t="s">
        <v>2974</v>
      </c>
      <c r="I581">
        <v>1206726</v>
      </c>
      <c r="J581" t="s">
        <v>3263</v>
      </c>
      <c r="K581" t="s">
        <v>4056</v>
      </c>
    </row>
    <row r="582" spans="1:11" x14ac:dyDescent="0.3">
      <c r="A582" t="s">
        <v>3182</v>
      </c>
      <c r="B582" t="s">
        <v>3244</v>
      </c>
      <c r="C582" t="s">
        <v>345</v>
      </c>
      <c r="D582" t="s">
        <v>4111</v>
      </c>
      <c r="E582" t="s">
        <v>2223</v>
      </c>
      <c r="F582" s="1" t="str">
        <f>HYPERLINK("http://ovidsp.ovid.com/ovidweb.cgi?T=JS&amp;NEWS=n&amp;CSC=Y&amp;PAGE=booktext&amp;D=books&amp;AN=01382823$&amp;XPATH=/PG(0)&amp;EPUB=Y","http://ovidsp.ovid.com/ovidweb.cgi?T=JS&amp;NEWS=n&amp;CSC=Y&amp;PAGE=booktext&amp;D=books&amp;AN=01382823$&amp;XPATH=/PG(0)&amp;EPUB=Y")</f>
        <v>http://ovidsp.ovid.com/ovidweb.cgi?T=JS&amp;NEWS=n&amp;CSC=Y&amp;PAGE=booktext&amp;D=books&amp;AN=01382823$&amp;XPATH=/PG(0)&amp;EPUB=Y</v>
      </c>
      <c r="G582" t="s">
        <v>2139</v>
      </c>
      <c r="H582" t="s">
        <v>2974</v>
      </c>
      <c r="I582">
        <v>1206726</v>
      </c>
      <c r="J582" t="s">
        <v>3263</v>
      </c>
      <c r="K582" t="s">
        <v>4496</v>
      </c>
    </row>
    <row r="583" spans="1:11" x14ac:dyDescent="0.3">
      <c r="A583" t="s">
        <v>2264</v>
      </c>
      <c r="B583" t="s">
        <v>2709</v>
      </c>
      <c r="C583" t="s">
        <v>4179</v>
      </c>
      <c r="D583" t="s">
        <v>4111</v>
      </c>
      <c r="E583" t="s">
        <v>1595</v>
      </c>
      <c r="F583" s="1" t="str">
        <f>HYPERLINK("http://ovidsp.ovid.com/ovidweb.cgi?T=JS&amp;NEWS=n&amp;CSC=Y&amp;PAGE=booktext&amp;D=books&amp;AN=01899890$&amp;XPATH=/PG(0)&amp;EPUB=Y","http://ovidsp.ovid.com/ovidweb.cgi?T=JS&amp;NEWS=n&amp;CSC=Y&amp;PAGE=booktext&amp;D=books&amp;AN=01899890$&amp;XPATH=/PG(0)&amp;EPUB=Y")</f>
        <v>http://ovidsp.ovid.com/ovidweb.cgi?T=JS&amp;NEWS=n&amp;CSC=Y&amp;PAGE=booktext&amp;D=books&amp;AN=01899890$&amp;XPATH=/PG(0)&amp;EPUB=Y</v>
      </c>
      <c r="G583" t="s">
        <v>2139</v>
      </c>
      <c r="H583" t="s">
        <v>2974</v>
      </c>
      <c r="I583">
        <v>1206726</v>
      </c>
      <c r="J583" t="s">
        <v>3263</v>
      </c>
      <c r="K583" t="s">
        <v>4557</v>
      </c>
    </row>
    <row r="584" spans="1:11" x14ac:dyDescent="0.3">
      <c r="A584" t="s">
        <v>4657</v>
      </c>
      <c r="B584" t="s">
        <v>2456</v>
      </c>
      <c r="C584" t="s">
        <v>3397</v>
      </c>
      <c r="D584" t="s">
        <v>4111</v>
      </c>
      <c r="E584" t="s">
        <v>404</v>
      </c>
      <c r="F584" s="1" t="str">
        <f>HYPERLINK("http://ovidsp.ovid.com/ovidweb.cgi?T=JS&amp;NEWS=n&amp;CSC=Y&amp;PAGE=booktext&amp;D=books&amp;AN=01382504$&amp;XPATH=/PG(0)&amp;EPUB=Y","http://ovidsp.ovid.com/ovidweb.cgi?T=JS&amp;NEWS=n&amp;CSC=Y&amp;PAGE=booktext&amp;D=books&amp;AN=01382504$&amp;XPATH=/PG(0)&amp;EPUB=Y")</f>
        <v>http://ovidsp.ovid.com/ovidweb.cgi?T=JS&amp;NEWS=n&amp;CSC=Y&amp;PAGE=booktext&amp;D=books&amp;AN=01382504$&amp;XPATH=/PG(0)&amp;EPUB=Y</v>
      </c>
      <c r="G584" t="s">
        <v>2139</v>
      </c>
      <c r="H584" t="s">
        <v>2974</v>
      </c>
      <c r="I584">
        <v>1206726</v>
      </c>
      <c r="J584" t="s">
        <v>3263</v>
      </c>
      <c r="K584" t="s">
        <v>4299</v>
      </c>
    </row>
    <row r="585" spans="1:11" x14ac:dyDescent="0.3">
      <c r="A585" t="s">
        <v>2059</v>
      </c>
      <c r="B585" t="s">
        <v>784</v>
      </c>
      <c r="C585" t="s">
        <v>810</v>
      </c>
      <c r="D585" t="s">
        <v>4111</v>
      </c>
      <c r="E585" t="s">
        <v>404</v>
      </c>
      <c r="F585" s="1" t="str">
        <f>HYPERLINK("http://ovidsp.ovid.com/ovidweb.cgi?T=JS&amp;NEWS=n&amp;CSC=Y&amp;PAGE=booktext&amp;D=books&amp;AN=00146939$&amp;XPATH=/PG(0)&amp;EPUB=Y","http://ovidsp.ovid.com/ovidweb.cgi?T=JS&amp;NEWS=n&amp;CSC=Y&amp;PAGE=booktext&amp;D=books&amp;AN=00146939$&amp;XPATH=/PG(0)&amp;EPUB=Y")</f>
        <v>http://ovidsp.ovid.com/ovidweb.cgi?T=JS&amp;NEWS=n&amp;CSC=Y&amp;PAGE=booktext&amp;D=books&amp;AN=00146939$&amp;XPATH=/PG(0)&amp;EPUB=Y</v>
      </c>
      <c r="G585" t="s">
        <v>2139</v>
      </c>
      <c r="H585" t="s">
        <v>2974</v>
      </c>
      <c r="I585">
        <v>1206726</v>
      </c>
      <c r="J585" t="s">
        <v>3263</v>
      </c>
      <c r="K585" t="s">
        <v>4291</v>
      </c>
    </row>
    <row r="586" spans="1:11" x14ac:dyDescent="0.3">
      <c r="A586" t="s">
        <v>3265</v>
      </c>
      <c r="B586" t="s">
        <v>575</v>
      </c>
      <c r="C586" t="s">
        <v>2640</v>
      </c>
      <c r="D586" t="s">
        <v>4111</v>
      </c>
      <c r="E586" t="s">
        <v>2970</v>
      </c>
      <c r="F586" s="1" t="str">
        <f>HYPERLINK("http://ovidsp.ovid.com/ovidweb.cgi?T=JS&amp;NEWS=n&amp;CSC=Y&amp;PAGE=booktext&amp;D=books&amp;AN=01429531$&amp;XPATH=/PG(0)&amp;EPUB=Y","http://ovidsp.ovid.com/ovidweb.cgi?T=JS&amp;NEWS=n&amp;CSC=Y&amp;PAGE=booktext&amp;D=books&amp;AN=01429531$&amp;XPATH=/PG(0)&amp;EPUB=Y")</f>
        <v>http://ovidsp.ovid.com/ovidweb.cgi?T=JS&amp;NEWS=n&amp;CSC=Y&amp;PAGE=booktext&amp;D=books&amp;AN=01429531$&amp;XPATH=/PG(0)&amp;EPUB=Y</v>
      </c>
      <c r="G586" t="s">
        <v>2139</v>
      </c>
      <c r="H586" t="s">
        <v>2974</v>
      </c>
      <c r="I586">
        <v>1206726</v>
      </c>
      <c r="J586" t="s">
        <v>3263</v>
      </c>
      <c r="K586" t="s">
        <v>2032</v>
      </c>
    </row>
    <row r="587" spans="1:11" x14ac:dyDescent="0.3">
      <c r="A587" t="s">
        <v>2483</v>
      </c>
      <c r="B587" t="s">
        <v>3321</v>
      </c>
      <c r="C587" t="s">
        <v>1904</v>
      </c>
      <c r="D587" t="s">
        <v>4111</v>
      </c>
      <c r="E587" t="s">
        <v>1361</v>
      </c>
      <c r="F587" s="1" t="str">
        <f>HYPERLINK("http://ovidsp.ovid.com/ovidweb.cgi?T=JS&amp;NEWS=n&amp;CSC=Y&amp;PAGE=booktext&amp;D=books&amp;AN=01329160$&amp;XPATH=/PG(0)&amp;EPUB=Y","http://ovidsp.ovid.com/ovidweb.cgi?T=JS&amp;NEWS=n&amp;CSC=Y&amp;PAGE=booktext&amp;D=books&amp;AN=01329160$&amp;XPATH=/PG(0)&amp;EPUB=Y")</f>
        <v>http://ovidsp.ovid.com/ovidweb.cgi?T=JS&amp;NEWS=n&amp;CSC=Y&amp;PAGE=booktext&amp;D=books&amp;AN=01329160$&amp;XPATH=/PG(0)&amp;EPUB=Y</v>
      </c>
      <c r="G587" t="s">
        <v>2139</v>
      </c>
      <c r="H587" t="s">
        <v>2974</v>
      </c>
      <c r="I587">
        <v>1206726</v>
      </c>
      <c r="J587" t="s">
        <v>3263</v>
      </c>
      <c r="K587" t="s">
        <v>3125</v>
      </c>
    </row>
    <row r="588" spans="1:11" x14ac:dyDescent="0.3">
      <c r="A588" t="s">
        <v>2483</v>
      </c>
      <c r="B588" t="s">
        <v>1041</v>
      </c>
      <c r="C588" t="s">
        <v>1575</v>
      </c>
      <c r="D588" t="s">
        <v>4111</v>
      </c>
      <c r="E588" t="s">
        <v>1229</v>
      </c>
      <c r="F588" s="1" t="str">
        <f>HYPERLINK("http://ovidsp.ovid.com/ovidweb.cgi?T=JS&amp;NEWS=n&amp;CSC=Y&amp;PAGE=booktext&amp;D=books&amp;AN=01337998$&amp;XPATH=/PG(0)&amp;EPUB=Y","http://ovidsp.ovid.com/ovidweb.cgi?T=JS&amp;NEWS=n&amp;CSC=Y&amp;PAGE=booktext&amp;D=books&amp;AN=01337998$&amp;XPATH=/PG(0)&amp;EPUB=Y")</f>
        <v>http://ovidsp.ovid.com/ovidweb.cgi?T=JS&amp;NEWS=n&amp;CSC=Y&amp;PAGE=booktext&amp;D=books&amp;AN=01337998$&amp;XPATH=/PG(0)&amp;EPUB=Y</v>
      </c>
      <c r="G588" t="s">
        <v>2139</v>
      </c>
      <c r="H588" t="s">
        <v>2974</v>
      </c>
      <c r="I588">
        <v>1206726</v>
      </c>
      <c r="J588" t="s">
        <v>3263</v>
      </c>
      <c r="K588" t="s">
        <v>2398</v>
      </c>
    </row>
    <row r="589" spans="1:11" x14ac:dyDescent="0.3">
      <c r="A589" t="s">
        <v>2483</v>
      </c>
      <c r="B589" t="s">
        <v>4036</v>
      </c>
      <c r="C589" t="s">
        <v>2523</v>
      </c>
      <c r="D589" t="s">
        <v>4111</v>
      </c>
      <c r="E589" t="s">
        <v>3759</v>
      </c>
      <c r="F589" s="1" t="str">
        <f>HYPERLINK("http://ovidsp.ovid.com/ovidweb.cgi?T=JS&amp;NEWS=n&amp;CSC=Y&amp;PAGE=booktext&amp;D=books&amp;AN=00146940$&amp;XPATH=/PG(0)&amp;EPUB=Y","http://ovidsp.ovid.com/ovidweb.cgi?T=JS&amp;NEWS=n&amp;CSC=Y&amp;PAGE=booktext&amp;D=books&amp;AN=00146940$&amp;XPATH=/PG(0)&amp;EPUB=Y")</f>
        <v>http://ovidsp.ovid.com/ovidweb.cgi?T=JS&amp;NEWS=n&amp;CSC=Y&amp;PAGE=booktext&amp;D=books&amp;AN=00146940$&amp;XPATH=/PG(0)&amp;EPUB=Y</v>
      </c>
      <c r="G589" t="s">
        <v>2139</v>
      </c>
      <c r="H589" t="s">
        <v>2974</v>
      </c>
      <c r="I589">
        <v>1206726</v>
      </c>
      <c r="J589" t="s">
        <v>3263</v>
      </c>
      <c r="K589" t="s">
        <v>1390</v>
      </c>
    </row>
    <row r="590" spans="1:11" x14ac:dyDescent="0.3">
      <c r="A590" t="s">
        <v>2483</v>
      </c>
      <c r="B590" t="s">
        <v>2130</v>
      </c>
      <c r="C590" t="s">
        <v>3536</v>
      </c>
      <c r="D590" t="s">
        <v>4111</v>
      </c>
      <c r="E590" t="s">
        <v>4704</v>
      </c>
      <c r="F590" s="1" t="str">
        <f>HYPERLINK("http://ovidsp.ovid.com/ovidweb.cgi?T=JS&amp;NEWS=n&amp;CSC=Y&amp;PAGE=booktext&amp;D=books&amp;AN=01435028$&amp;XPATH=/PG(0)&amp;EPUB=Y","http://ovidsp.ovid.com/ovidweb.cgi?T=JS&amp;NEWS=n&amp;CSC=Y&amp;PAGE=booktext&amp;D=books&amp;AN=01435028$&amp;XPATH=/PG(0)&amp;EPUB=Y")</f>
        <v>http://ovidsp.ovid.com/ovidweb.cgi?T=JS&amp;NEWS=n&amp;CSC=Y&amp;PAGE=booktext&amp;D=books&amp;AN=01435028$&amp;XPATH=/PG(0)&amp;EPUB=Y</v>
      </c>
      <c r="G590" t="s">
        <v>2139</v>
      </c>
      <c r="H590" t="s">
        <v>2974</v>
      </c>
      <c r="I590">
        <v>1206726</v>
      </c>
      <c r="J590" t="s">
        <v>3263</v>
      </c>
      <c r="K590" t="s">
        <v>2235</v>
      </c>
    </row>
    <row r="591" spans="1:11" x14ac:dyDescent="0.3">
      <c r="A591" t="s">
        <v>2483</v>
      </c>
      <c r="B591" t="s">
        <v>2772</v>
      </c>
      <c r="C591" t="s">
        <v>4421</v>
      </c>
      <c r="D591" t="s">
        <v>4111</v>
      </c>
      <c r="E591" t="s">
        <v>2621</v>
      </c>
      <c r="F591" s="1" t="str">
        <f>HYPERLINK("http://ovidsp.ovid.com/ovidweb.cgi?T=JS&amp;NEWS=n&amp;CSC=Y&amp;PAGE=booktext&amp;D=books&amp;AN=01437419$&amp;XPATH=/PG(0)&amp;EPUB=Y","http://ovidsp.ovid.com/ovidweb.cgi?T=JS&amp;NEWS=n&amp;CSC=Y&amp;PAGE=booktext&amp;D=books&amp;AN=01437419$&amp;XPATH=/PG(0)&amp;EPUB=Y")</f>
        <v>http://ovidsp.ovid.com/ovidweb.cgi?T=JS&amp;NEWS=n&amp;CSC=Y&amp;PAGE=booktext&amp;D=books&amp;AN=01437419$&amp;XPATH=/PG(0)&amp;EPUB=Y</v>
      </c>
      <c r="G591" t="s">
        <v>2139</v>
      </c>
      <c r="H591" t="s">
        <v>2974</v>
      </c>
      <c r="I591">
        <v>1206726</v>
      </c>
      <c r="J591" t="s">
        <v>3263</v>
      </c>
      <c r="K591" t="s">
        <v>3583</v>
      </c>
    </row>
    <row r="592" spans="1:11" x14ac:dyDescent="0.3">
      <c r="A592" t="s">
        <v>35</v>
      </c>
      <c r="B592" t="s">
        <v>758</v>
      </c>
      <c r="C592" t="s">
        <v>4180</v>
      </c>
      <c r="D592" t="s">
        <v>4111</v>
      </c>
      <c r="E592" t="s">
        <v>3322</v>
      </c>
      <c r="F592" s="1" t="str">
        <f>HYPERLINK("http://ovidsp.ovid.com/ovidweb.cgi?T=JS&amp;NEWS=n&amp;CSC=Y&amp;PAGE=booktext&amp;D=books&amp;AN=01438868$&amp;XPATH=/PG(0)&amp;EPUB=Y","http://ovidsp.ovid.com/ovidweb.cgi?T=JS&amp;NEWS=n&amp;CSC=Y&amp;PAGE=booktext&amp;D=books&amp;AN=01438868$&amp;XPATH=/PG(0)&amp;EPUB=Y")</f>
        <v>http://ovidsp.ovid.com/ovidweb.cgi?T=JS&amp;NEWS=n&amp;CSC=Y&amp;PAGE=booktext&amp;D=books&amp;AN=01438868$&amp;XPATH=/PG(0)&amp;EPUB=Y</v>
      </c>
      <c r="G592" t="s">
        <v>2139</v>
      </c>
      <c r="H592" t="s">
        <v>2974</v>
      </c>
      <c r="I592">
        <v>1206726</v>
      </c>
      <c r="J592" t="s">
        <v>3263</v>
      </c>
      <c r="K592" t="s">
        <v>2789</v>
      </c>
    </row>
    <row r="593" spans="1:11" x14ac:dyDescent="0.3">
      <c r="A593" t="s">
        <v>2666</v>
      </c>
      <c r="B593" t="s">
        <v>4446</v>
      </c>
      <c r="C593" t="s">
        <v>1648</v>
      </c>
      <c r="D593" t="s">
        <v>4111</v>
      </c>
      <c r="E593" t="s">
        <v>2223</v>
      </c>
      <c r="F593" s="1" t="str">
        <f>HYPERLINK("http://ovidsp.ovid.com/ovidweb.cgi?T=JS&amp;NEWS=n&amp;CSC=Y&amp;PAGE=booktext&amp;D=books&amp;AN=01437420$&amp;XPATH=/PG(0)&amp;EPUB=Y","http://ovidsp.ovid.com/ovidweb.cgi?T=JS&amp;NEWS=n&amp;CSC=Y&amp;PAGE=booktext&amp;D=books&amp;AN=01437420$&amp;XPATH=/PG(0)&amp;EPUB=Y")</f>
        <v>http://ovidsp.ovid.com/ovidweb.cgi?T=JS&amp;NEWS=n&amp;CSC=Y&amp;PAGE=booktext&amp;D=books&amp;AN=01437420$&amp;XPATH=/PG(0)&amp;EPUB=Y</v>
      </c>
      <c r="G593" t="s">
        <v>2139</v>
      </c>
      <c r="H593" t="s">
        <v>2974</v>
      </c>
      <c r="I593">
        <v>1206726</v>
      </c>
      <c r="J593" t="s">
        <v>3263</v>
      </c>
      <c r="K593" t="s">
        <v>1287</v>
      </c>
    </row>
    <row r="594" spans="1:11" x14ac:dyDescent="0.3">
      <c r="A594" t="s">
        <v>4219</v>
      </c>
      <c r="B594" t="s">
        <v>1901</v>
      </c>
      <c r="C594" t="s">
        <v>4183</v>
      </c>
      <c r="D594" t="s">
        <v>4111</v>
      </c>
      <c r="E594" t="s">
        <v>3387</v>
      </c>
      <c r="F594" s="1" t="str">
        <f>HYPERLINK("http://ovidsp.ovid.com/ovidweb.cgi?T=JS&amp;NEWS=n&amp;CSC=Y&amp;PAGE=booktext&amp;D=books&amp;AN=01720597$&amp;XPATH=/PG(0)&amp;EPUB=Y","http://ovidsp.ovid.com/ovidweb.cgi?T=JS&amp;NEWS=n&amp;CSC=Y&amp;PAGE=booktext&amp;D=books&amp;AN=01720597$&amp;XPATH=/PG(0)&amp;EPUB=Y")</f>
        <v>http://ovidsp.ovid.com/ovidweb.cgi?T=JS&amp;NEWS=n&amp;CSC=Y&amp;PAGE=booktext&amp;D=books&amp;AN=01720597$&amp;XPATH=/PG(0)&amp;EPUB=Y</v>
      </c>
      <c r="G594" t="s">
        <v>2139</v>
      </c>
      <c r="H594" t="s">
        <v>2974</v>
      </c>
      <c r="I594">
        <v>1206726</v>
      </c>
      <c r="J594" t="s">
        <v>3263</v>
      </c>
      <c r="K594" t="s">
        <v>1747</v>
      </c>
    </row>
    <row r="595" spans="1:11" x14ac:dyDescent="0.3">
      <c r="A595" t="s">
        <v>2118</v>
      </c>
      <c r="B595" t="s">
        <v>1887</v>
      </c>
      <c r="C595" t="s">
        <v>3506</v>
      </c>
      <c r="D595" t="s">
        <v>4111</v>
      </c>
      <c r="E595" t="s">
        <v>2223</v>
      </c>
      <c r="F595" s="1" t="str">
        <f>HYPERLINK("http://ovidsp.ovid.com/ovidweb.cgi?T=JS&amp;NEWS=n&amp;CSC=Y&amp;PAGE=booktext&amp;D=books&amp;AN=01437537$&amp;XPATH=/PG(0)&amp;EPUB=Y","http://ovidsp.ovid.com/ovidweb.cgi?T=JS&amp;NEWS=n&amp;CSC=Y&amp;PAGE=booktext&amp;D=books&amp;AN=01437537$&amp;XPATH=/PG(0)&amp;EPUB=Y")</f>
        <v>http://ovidsp.ovid.com/ovidweb.cgi?T=JS&amp;NEWS=n&amp;CSC=Y&amp;PAGE=booktext&amp;D=books&amp;AN=01437537$&amp;XPATH=/PG(0)&amp;EPUB=Y</v>
      </c>
      <c r="G595" t="s">
        <v>2139</v>
      </c>
      <c r="H595" t="s">
        <v>2974</v>
      </c>
      <c r="I595">
        <v>1206726</v>
      </c>
      <c r="J595" t="s">
        <v>3263</v>
      </c>
      <c r="K595" t="s">
        <v>2641</v>
      </c>
    </row>
    <row r="596" spans="1:11" x14ac:dyDescent="0.3">
      <c r="A596" t="s">
        <v>1484</v>
      </c>
      <c r="B596" t="s">
        <v>1626</v>
      </c>
      <c r="C596" t="s">
        <v>1918</v>
      </c>
      <c r="D596" t="s">
        <v>4111</v>
      </c>
      <c r="E596" t="s">
        <v>2223</v>
      </c>
      <c r="F596" s="1" t="str">
        <f>HYPERLINK("http://ovidsp.ovid.com/ovidweb.cgi?T=JS&amp;NEWS=n&amp;CSC=Y&amp;PAGE=booktext&amp;D=books&amp;AN=01412536$&amp;XPATH=/PG(0)&amp;EPUB=Y","http://ovidsp.ovid.com/ovidweb.cgi?T=JS&amp;NEWS=n&amp;CSC=Y&amp;PAGE=booktext&amp;D=books&amp;AN=01412536$&amp;XPATH=/PG(0)&amp;EPUB=Y")</f>
        <v>http://ovidsp.ovid.com/ovidweb.cgi?T=JS&amp;NEWS=n&amp;CSC=Y&amp;PAGE=booktext&amp;D=books&amp;AN=01412536$&amp;XPATH=/PG(0)&amp;EPUB=Y</v>
      </c>
      <c r="G596" t="s">
        <v>2139</v>
      </c>
      <c r="H596" t="s">
        <v>2974</v>
      </c>
      <c r="I596">
        <v>1206726</v>
      </c>
      <c r="J596" t="s">
        <v>3263</v>
      </c>
      <c r="K596" t="s">
        <v>360</v>
      </c>
    </row>
    <row r="597" spans="1:11" x14ac:dyDescent="0.3">
      <c r="A597" t="s">
        <v>3836</v>
      </c>
      <c r="B597" t="s">
        <v>1097</v>
      </c>
      <c r="C597" t="s">
        <v>1139</v>
      </c>
      <c r="D597" t="s">
        <v>4111</v>
      </c>
      <c r="E597" t="s">
        <v>2223</v>
      </c>
      <c r="F597" s="1" t="str">
        <f>HYPERLINK("http://ovidsp.ovid.com/ovidweb.cgi?T=JS&amp;NEWS=n&amp;CSC=Y&amp;PAGE=booktext&amp;D=books&amp;AN=01438869$&amp;XPATH=/PG(0)&amp;EPUB=Y","http://ovidsp.ovid.com/ovidweb.cgi?T=JS&amp;NEWS=n&amp;CSC=Y&amp;PAGE=booktext&amp;D=books&amp;AN=01438869$&amp;XPATH=/PG(0)&amp;EPUB=Y")</f>
        <v>http://ovidsp.ovid.com/ovidweb.cgi?T=JS&amp;NEWS=n&amp;CSC=Y&amp;PAGE=booktext&amp;D=books&amp;AN=01438869$&amp;XPATH=/PG(0)&amp;EPUB=Y</v>
      </c>
      <c r="G597" t="s">
        <v>2139</v>
      </c>
      <c r="H597" t="s">
        <v>2974</v>
      </c>
      <c r="I597">
        <v>1206726</v>
      </c>
      <c r="J597" t="s">
        <v>3263</v>
      </c>
      <c r="K597" t="s">
        <v>3107</v>
      </c>
    </row>
    <row r="598" spans="1:11" x14ac:dyDescent="0.3">
      <c r="A598" t="s">
        <v>4548</v>
      </c>
      <c r="B598" t="s">
        <v>3816</v>
      </c>
      <c r="C598" t="s">
        <v>1259</v>
      </c>
      <c r="D598" t="s">
        <v>4111</v>
      </c>
      <c r="E598" t="s">
        <v>2223</v>
      </c>
      <c r="F598" s="1" t="str">
        <f>HYPERLINK("http://ovidsp.ovid.com/ovidweb.cgi?T=JS&amp;NEWS=n&amp;CSC=Y&amp;PAGE=booktext&amp;D=books&amp;AN=01437536$&amp;XPATH=/PG(0)&amp;EPUB=Y","http://ovidsp.ovid.com/ovidweb.cgi?T=JS&amp;NEWS=n&amp;CSC=Y&amp;PAGE=booktext&amp;D=books&amp;AN=01437536$&amp;XPATH=/PG(0)&amp;EPUB=Y")</f>
        <v>http://ovidsp.ovid.com/ovidweb.cgi?T=JS&amp;NEWS=n&amp;CSC=Y&amp;PAGE=booktext&amp;D=books&amp;AN=01437536$&amp;XPATH=/PG(0)&amp;EPUB=Y</v>
      </c>
      <c r="G598" t="s">
        <v>2139</v>
      </c>
      <c r="H598" t="s">
        <v>2974</v>
      </c>
      <c r="I598">
        <v>1206726</v>
      </c>
      <c r="J598" t="s">
        <v>3263</v>
      </c>
      <c r="K598" t="s">
        <v>2409</v>
      </c>
    </row>
    <row r="599" spans="1:11" x14ac:dyDescent="0.3">
      <c r="A599" t="s">
        <v>660</v>
      </c>
      <c r="B599" t="s">
        <v>3225</v>
      </c>
      <c r="C599" t="s">
        <v>797</v>
      </c>
      <c r="D599" t="s">
        <v>4111</v>
      </c>
      <c r="E599" t="s">
        <v>2223</v>
      </c>
      <c r="F599" s="1" t="str">
        <f>HYPERLINK("http://ovidsp.ovid.com/ovidweb.cgi?T=JS&amp;NEWS=n&amp;CSC=Y&amp;PAGE=booktext&amp;D=books&amp;AN=01337290$&amp;XPATH=/PG(0)&amp;EPUB=Y","http://ovidsp.ovid.com/ovidweb.cgi?T=JS&amp;NEWS=n&amp;CSC=Y&amp;PAGE=booktext&amp;D=books&amp;AN=01337290$&amp;XPATH=/PG(0)&amp;EPUB=Y")</f>
        <v>http://ovidsp.ovid.com/ovidweb.cgi?T=JS&amp;NEWS=n&amp;CSC=Y&amp;PAGE=booktext&amp;D=books&amp;AN=01337290$&amp;XPATH=/PG(0)&amp;EPUB=Y</v>
      </c>
      <c r="G599" t="s">
        <v>2139</v>
      </c>
      <c r="H599" t="s">
        <v>2974</v>
      </c>
      <c r="I599">
        <v>1206726</v>
      </c>
      <c r="J599" t="s">
        <v>3263</v>
      </c>
      <c r="K599" t="s">
        <v>1459</v>
      </c>
    </row>
    <row r="600" spans="1:11" x14ac:dyDescent="0.3">
      <c r="A600" t="s">
        <v>2499</v>
      </c>
      <c r="B600" t="s">
        <v>1649</v>
      </c>
      <c r="C600" t="s">
        <v>1366</v>
      </c>
      <c r="D600" t="s">
        <v>4111</v>
      </c>
      <c r="E600" t="s">
        <v>2223</v>
      </c>
      <c r="F600" s="1" t="str">
        <f>HYPERLINK("http://ovidsp.ovid.com/ovidweb.cgi?T=JS&amp;NEWS=n&amp;CSC=Y&amp;PAGE=booktext&amp;D=books&amp;AN=01382829$&amp;XPATH=/PG(0)&amp;EPUB=Y","http://ovidsp.ovid.com/ovidweb.cgi?T=JS&amp;NEWS=n&amp;CSC=Y&amp;PAGE=booktext&amp;D=books&amp;AN=01382829$&amp;XPATH=/PG(0)&amp;EPUB=Y")</f>
        <v>http://ovidsp.ovid.com/ovidweb.cgi?T=JS&amp;NEWS=n&amp;CSC=Y&amp;PAGE=booktext&amp;D=books&amp;AN=01382829$&amp;XPATH=/PG(0)&amp;EPUB=Y</v>
      </c>
      <c r="G600" t="s">
        <v>2139</v>
      </c>
      <c r="H600" t="s">
        <v>2974</v>
      </c>
      <c r="I600">
        <v>1206726</v>
      </c>
      <c r="J600" t="s">
        <v>3263</v>
      </c>
      <c r="K600" t="s">
        <v>975</v>
      </c>
    </row>
    <row r="601" spans="1:11" x14ac:dyDescent="0.3">
      <c r="A601" t="s">
        <v>4699</v>
      </c>
      <c r="B601" t="s">
        <v>3569</v>
      </c>
      <c r="C601" t="s">
        <v>1706</v>
      </c>
      <c r="D601" t="s">
        <v>4111</v>
      </c>
      <c r="E601" t="s">
        <v>3051</v>
      </c>
      <c r="F601" s="1" t="str">
        <f>HYPERLINK("http://ovidsp.ovid.com/ovidweb.cgi?T=JS&amp;NEWS=n&amp;CSC=Y&amp;PAGE=booktext&amp;D=books&amp;AN=01382876$&amp;XPATH=/PG(0)&amp;EPUB=Y","http://ovidsp.ovid.com/ovidweb.cgi?T=JS&amp;NEWS=n&amp;CSC=Y&amp;PAGE=booktext&amp;D=books&amp;AN=01382876$&amp;XPATH=/PG(0)&amp;EPUB=Y")</f>
        <v>http://ovidsp.ovid.com/ovidweb.cgi?T=JS&amp;NEWS=n&amp;CSC=Y&amp;PAGE=booktext&amp;D=books&amp;AN=01382876$&amp;XPATH=/PG(0)&amp;EPUB=Y</v>
      </c>
      <c r="G601" t="s">
        <v>2139</v>
      </c>
      <c r="H601" t="s">
        <v>2974</v>
      </c>
      <c r="I601">
        <v>1206726</v>
      </c>
      <c r="J601" t="s">
        <v>3263</v>
      </c>
      <c r="K601" t="s">
        <v>3245</v>
      </c>
    </row>
    <row r="602" spans="1:11" x14ac:dyDescent="0.3">
      <c r="A602" t="s">
        <v>3141</v>
      </c>
      <c r="B602" t="s">
        <v>622</v>
      </c>
      <c r="C602" t="s">
        <v>4098</v>
      </c>
      <c r="D602" t="s">
        <v>4111</v>
      </c>
      <c r="E602" t="s">
        <v>3387</v>
      </c>
      <c r="F602" s="1" t="str">
        <f>HYPERLINK("http://ovidsp.ovid.com/ovidweb.cgi?T=JS&amp;NEWS=n&amp;CSC=Y&amp;PAGE=booktext&amp;D=books&amp;AN=01438428$&amp;XPATH=/PG(0)&amp;EPUB=Y","http://ovidsp.ovid.com/ovidweb.cgi?T=JS&amp;NEWS=n&amp;CSC=Y&amp;PAGE=booktext&amp;D=books&amp;AN=01438428$&amp;XPATH=/PG(0)&amp;EPUB=Y")</f>
        <v>http://ovidsp.ovid.com/ovidweb.cgi?T=JS&amp;NEWS=n&amp;CSC=Y&amp;PAGE=booktext&amp;D=books&amp;AN=01438428$&amp;XPATH=/PG(0)&amp;EPUB=Y</v>
      </c>
      <c r="G602" t="s">
        <v>2139</v>
      </c>
      <c r="H602" t="s">
        <v>2974</v>
      </c>
      <c r="I602">
        <v>1206726</v>
      </c>
      <c r="J602" t="s">
        <v>3263</v>
      </c>
      <c r="K602" t="s">
        <v>1749</v>
      </c>
    </row>
    <row r="603" spans="1:11" x14ac:dyDescent="0.3">
      <c r="A603" t="s">
        <v>3141</v>
      </c>
      <c r="B603" t="s">
        <v>4461</v>
      </c>
      <c r="C603" t="s">
        <v>2211</v>
      </c>
      <c r="D603" t="s">
        <v>4111</v>
      </c>
      <c r="E603" t="s">
        <v>2876</v>
      </c>
      <c r="F603" s="1" t="str">
        <f>HYPERLINK("http://ovidsp.ovid.com/ovidweb.cgi?T=JS&amp;NEWS=n&amp;CSC=Y&amp;PAGE=booktext&amp;D=books&amp;AN=01256969$&amp;XPATH=/PG(0)&amp;EPUB=Y","http://ovidsp.ovid.com/ovidweb.cgi?T=JS&amp;NEWS=n&amp;CSC=Y&amp;PAGE=booktext&amp;D=books&amp;AN=01256969$&amp;XPATH=/PG(0)&amp;EPUB=Y")</f>
        <v>http://ovidsp.ovid.com/ovidweb.cgi?T=JS&amp;NEWS=n&amp;CSC=Y&amp;PAGE=booktext&amp;D=books&amp;AN=01256969$&amp;XPATH=/PG(0)&amp;EPUB=Y</v>
      </c>
      <c r="G603" t="s">
        <v>2139</v>
      </c>
      <c r="H603" t="s">
        <v>2974</v>
      </c>
      <c r="I603">
        <v>1206726</v>
      </c>
      <c r="J603" t="s">
        <v>3263</v>
      </c>
      <c r="K603" t="s">
        <v>3804</v>
      </c>
    </row>
    <row r="604" spans="1:11" x14ac:dyDescent="0.3">
      <c r="A604" t="s">
        <v>2822</v>
      </c>
      <c r="B604" t="s">
        <v>2247</v>
      </c>
      <c r="C604" t="s">
        <v>515</v>
      </c>
      <c r="D604" t="s">
        <v>4111</v>
      </c>
      <c r="E604" t="s">
        <v>3387</v>
      </c>
      <c r="F604" s="1" t="str">
        <f>HYPERLINK("http://ovidsp.ovid.com/ovidweb.cgi?T=JS&amp;NEWS=n&amp;CSC=Y&amp;PAGE=booktext&amp;D=books&amp;AN=00139942$&amp;XPATH=/PG(0)&amp;EPUB=Y","http://ovidsp.ovid.com/ovidweb.cgi?T=JS&amp;NEWS=n&amp;CSC=Y&amp;PAGE=booktext&amp;D=books&amp;AN=00139942$&amp;XPATH=/PG(0)&amp;EPUB=Y")</f>
        <v>http://ovidsp.ovid.com/ovidweb.cgi?T=JS&amp;NEWS=n&amp;CSC=Y&amp;PAGE=booktext&amp;D=books&amp;AN=00139942$&amp;XPATH=/PG(0)&amp;EPUB=Y</v>
      </c>
      <c r="G604" t="s">
        <v>2139</v>
      </c>
      <c r="H604" t="s">
        <v>2974</v>
      </c>
      <c r="I604">
        <v>1206726</v>
      </c>
      <c r="J604" t="s">
        <v>3263</v>
      </c>
      <c r="K604" t="s">
        <v>373</v>
      </c>
    </row>
    <row r="605" spans="1:11" x14ac:dyDescent="0.3">
      <c r="A605" t="s">
        <v>1627</v>
      </c>
      <c r="B605" t="s">
        <v>3578</v>
      </c>
      <c r="C605" t="s">
        <v>2897</v>
      </c>
      <c r="D605" t="s">
        <v>4111</v>
      </c>
      <c r="E605" t="s">
        <v>2223</v>
      </c>
      <c r="F605" s="1" t="str">
        <f>HYPERLINK("http://ovidsp.ovid.com/ovidweb.cgi?T=JS&amp;NEWS=n&amp;CSC=Y&amp;PAGE=booktext&amp;D=books&amp;AN=01382583$&amp;XPATH=/PG(0)&amp;EPUB=Y","http://ovidsp.ovid.com/ovidweb.cgi?T=JS&amp;NEWS=n&amp;CSC=Y&amp;PAGE=booktext&amp;D=books&amp;AN=01382583$&amp;XPATH=/PG(0)&amp;EPUB=Y")</f>
        <v>http://ovidsp.ovid.com/ovidweb.cgi?T=JS&amp;NEWS=n&amp;CSC=Y&amp;PAGE=booktext&amp;D=books&amp;AN=01382583$&amp;XPATH=/PG(0)&amp;EPUB=Y</v>
      </c>
      <c r="G605" t="s">
        <v>2139</v>
      </c>
      <c r="H605" t="s">
        <v>2974</v>
      </c>
      <c r="I605">
        <v>1206726</v>
      </c>
      <c r="J605" t="s">
        <v>3263</v>
      </c>
      <c r="K605" t="s">
        <v>2998</v>
      </c>
    </row>
    <row r="606" spans="1:11" x14ac:dyDescent="0.3">
      <c r="A606" t="s">
        <v>3500</v>
      </c>
      <c r="B606" t="s">
        <v>2023</v>
      </c>
      <c r="C606" t="s">
        <v>2783</v>
      </c>
      <c r="D606" t="s">
        <v>4111</v>
      </c>
      <c r="E606" t="s">
        <v>2876</v>
      </c>
      <c r="F606" s="1" t="str">
        <f>HYPERLINK("http://ovidsp.ovid.com/ovidweb.cgi?T=JS&amp;NEWS=n&amp;CSC=Y&amp;PAGE=booktext&amp;D=books&amp;AN=01438871$&amp;XPATH=/PG(0)&amp;EPUB=Y","http://ovidsp.ovid.com/ovidweb.cgi?T=JS&amp;NEWS=n&amp;CSC=Y&amp;PAGE=booktext&amp;D=books&amp;AN=01438871$&amp;XPATH=/PG(0)&amp;EPUB=Y")</f>
        <v>http://ovidsp.ovid.com/ovidweb.cgi?T=JS&amp;NEWS=n&amp;CSC=Y&amp;PAGE=booktext&amp;D=books&amp;AN=01438871$&amp;XPATH=/PG(0)&amp;EPUB=Y</v>
      </c>
      <c r="G606" t="s">
        <v>2139</v>
      </c>
      <c r="H606" t="s">
        <v>2974</v>
      </c>
      <c r="I606">
        <v>1206726</v>
      </c>
      <c r="J606" t="s">
        <v>3263</v>
      </c>
      <c r="K606" t="s">
        <v>3217</v>
      </c>
    </row>
    <row r="607" spans="1:11" x14ac:dyDescent="0.3">
      <c r="A607" t="s">
        <v>866</v>
      </c>
      <c r="B607" t="s">
        <v>2341</v>
      </c>
      <c r="C607" t="s">
        <v>224</v>
      </c>
      <c r="D607" t="s">
        <v>4111</v>
      </c>
      <c r="E607" t="s">
        <v>2223</v>
      </c>
      <c r="F607" s="1" t="str">
        <f>HYPERLINK("http://ovidsp.ovid.com/ovidweb.cgi?T=JS&amp;NEWS=n&amp;CSC=Y&amp;PAGE=booktext&amp;D=books&amp;AN=01382816$&amp;XPATH=/PG(0)&amp;EPUB=Y","http://ovidsp.ovid.com/ovidweb.cgi?T=JS&amp;NEWS=n&amp;CSC=Y&amp;PAGE=booktext&amp;D=books&amp;AN=01382816$&amp;XPATH=/PG(0)&amp;EPUB=Y")</f>
        <v>http://ovidsp.ovid.com/ovidweb.cgi?T=JS&amp;NEWS=n&amp;CSC=Y&amp;PAGE=booktext&amp;D=books&amp;AN=01382816$&amp;XPATH=/PG(0)&amp;EPUB=Y</v>
      </c>
      <c r="G607" t="s">
        <v>2139</v>
      </c>
      <c r="H607" t="s">
        <v>2974</v>
      </c>
      <c r="I607">
        <v>1206726</v>
      </c>
      <c r="J607" t="s">
        <v>3263</v>
      </c>
      <c r="K607" t="s">
        <v>1848</v>
      </c>
    </row>
    <row r="608" spans="1:11" x14ac:dyDescent="0.3">
      <c r="A608" t="s">
        <v>2644</v>
      </c>
      <c r="B608" t="s">
        <v>3556</v>
      </c>
      <c r="C608" t="s">
        <v>2258</v>
      </c>
      <c r="D608" t="s">
        <v>4111</v>
      </c>
      <c r="E608" t="s">
        <v>2223</v>
      </c>
      <c r="F608" s="1" t="str">
        <f>HYPERLINK("http://ovidsp.ovid.com/ovidweb.cgi?T=JS&amp;NEWS=n&amp;CSC=Y&amp;PAGE=booktext&amp;D=books&amp;AN=01382778$&amp;XPATH=/PG(0)&amp;EPUB=Y","http://ovidsp.ovid.com/ovidweb.cgi?T=JS&amp;NEWS=n&amp;CSC=Y&amp;PAGE=booktext&amp;D=books&amp;AN=01382778$&amp;XPATH=/PG(0)&amp;EPUB=Y")</f>
        <v>http://ovidsp.ovid.com/ovidweb.cgi?T=JS&amp;NEWS=n&amp;CSC=Y&amp;PAGE=booktext&amp;D=books&amp;AN=01382778$&amp;XPATH=/PG(0)&amp;EPUB=Y</v>
      </c>
      <c r="G608" t="s">
        <v>2139</v>
      </c>
      <c r="H608" t="s">
        <v>2974</v>
      </c>
      <c r="I608">
        <v>1206726</v>
      </c>
      <c r="J608" t="s">
        <v>3263</v>
      </c>
      <c r="K608" t="s">
        <v>3880</v>
      </c>
    </row>
    <row r="609" spans="1:11" x14ac:dyDescent="0.3">
      <c r="A609" t="s">
        <v>3689</v>
      </c>
      <c r="B609" t="s">
        <v>2155</v>
      </c>
      <c r="C609" t="s">
        <v>4537</v>
      </c>
      <c r="D609" t="s">
        <v>4111</v>
      </c>
      <c r="E609" t="s">
        <v>2223</v>
      </c>
      <c r="F609" s="1" t="str">
        <f>HYPERLINK("http://ovidsp.ovid.com/ovidweb.cgi?T=JS&amp;NEWS=n&amp;CSC=Y&amp;PAGE=booktext&amp;D=books&amp;AN=01382817$&amp;XPATH=/PG(0)&amp;EPUB=Y","http://ovidsp.ovid.com/ovidweb.cgi?T=JS&amp;NEWS=n&amp;CSC=Y&amp;PAGE=booktext&amp;D=books&amp;AN=01382817$&amp;XPATH=/PG(0)&amp;EPUB=Y")</f>
        <v>http://ovidsp.ovid.com/ovidweb.cgi?T=JS&amp;NEWS=n&amp;CSC=Y&amp;PAGE=booktext&amp;D=books&amp;AN=01382817$&amp;XPATH=/PG(0)&amp;EPUB=Y</v>
      </c>
      <c r="G609" t="s">
        <v>2139</v>
      </c>
      <c r="H609" t="s">
        <v>2974</v>
      </c>
      <c r="I609">
        <v>1206726</v>
      </c>
      <c r="J609" t="s">
        <v>3263</v>
      </c>
      <c r="K609" t="s">
        <v>2590</v>
      </c>
    </row>
    <row r="610" spans="1:11" x14ac:dyDescent="0.3">
      <c r="A610" t="s">
        <v>4028</v>
      </c>
      <c r="B610" t="s">
        <v>3401</v>
      </c>
      <c r="C610" t="s">
        <v>1226</v>
      </c>
      <c r="D610" t="s">
        <v>4111</v>
      </c>
      <c r="E610" t="s">
        <v>2223</v>
      </c>
      <c r="F610" s="1" t="str">
        <f>HYPERLINK("http://ovidsp.ovid.com/ovidweb.cgi?T=JS&amp;NEWS=n&amp;CSC=Y&amp;PAGE=booktext&amp;D=books&amp;AN=01382819$&amp;XPATH=/PG(0)&amp;EPUB=Y","http://ovidsp.ovid.com/ovidweb.cgi?T=JS&amp;NEWS=n&amp;CSC=Y&amp;PAGE=booktext&amp;D=books&amp;AN=01382819$&amp;XPATH=/PG(0)&amp;EPUB=Y")</f>
        <v>http://ovidsp.ovid.com/ovidweb.cgi?T=JS&amp;NEWS=n&amp;CSC=Y&amp;PAGE=booktext&amp;D=books&amp;AN=01382819$&amp;XPATH=/PG(0)&amp;EPUB=Y</v>
      </c>
      <c r="G610" t="s">
        <v>2139</v>
      </c>
      <c r="H610" t="s">
        <v>2974</v>
      </c>
      <c r="I610">
        <v>1206726</v>
      </c>
      <c r="J610" t="s">
        <v>3263</v>
      </c>
      <c r="K610" t="s">
        <v>3232</v>
      </c>
    </row>
    <row r="611" spans="1:11" x14ac:dyDescent="0.3">
      <c r="A611" t="s">
        <v>3235</v>
      </c>
      <c r="B611" t="s">
        <v>2324</v>
      </c>
      <c r="C611" t="s">
        <v>2156</v>
      </c>
      <c r="D611" t="s">
        <v>4111</v>
      </c>
      <c r="E611" t="s">
        <v>2223</v>
      </c>
      <c r="F611" s="1" t="str">
        <f>HYPERLINK("http://ovidsp.ovid.com/ovidweb.cgi?T=JS&amp;NEWS=n&amp;CSC=Y&amp;PAGE=booktext&amp;D=books&amp;AN=01382818$&amp;XPATH=/PG(0)&amp;EPUB=Y","http://ovidsp.ovid.com/ovidweb.cgi?T=JS&amp;NEWS=n&amp;CSC=Y&amp;PAGE=booktext&amp;D=books&amp;AN=01382818$&amp;XPATH=/PG(0)&amp;EPUB=Y")</f>
        <v>http://ovidsp.ovid.com/ovidweb.cgi?T=JS&amp;NEWS=n&amp;CSC=Y&amp;PAGE=booktext&amp;D=books&amp;AN=01382818$&amp;XPATH=/PG(0)&amp;EPUB=Y</v>
      </c>
      <c r="G611" t="s">
        <v>2139</v>
      </c>
      <c r="H611" t="s">
        <v>2974</v>
      </c>
      <c r="I611">
        <v>1206726</v>
      </c>
      <c r="J611" t="s">
        <v>3263</v>
      </c>
      <c r="K611" t="s">
        <v>3648</v>
      </c>
    </row>
    <row r="612" spans="1:11" x14ac:dyDescent="0.3">
      <c r="A612" t="s">
        <v>3156</v>
      </c>
      <c r="B612" t="s">
        <v>2329</v>
      </c>
      <c r="C612" t="s">
        <v>1921</v>
      </c>
      <c r="D612" t="s">
        <v>4111</v>
      </c>
      <c r="E612" t="s">
        <v>2223</v>
      </c>
      <c r="F612" s="1" t="str">
        <f>HYPERLINK("http://ovidsp.ovid.com/ovidweb.cgi?T=JS&amp;NEWS=n&amp;CSC=Y&amp;PAGE=booktext&amp;D=books&amp;AN=01382779$&amp;XPATH=/PG(0)&amp;EPUB=Y","http://ovidsp.ovid.com/ovidweb.cgi?T=JS&amp;NEWS=n&amp;CSC=Y&amp;PAGE=booktext&amp;D=books&amp;AN=01382779$&amp;XPATH=/PG(0)&amp;EPUB=Y")</f>
        <v>http://ovidsp.ovid.com/ovidweb.cgi?T=JS&amp;NEWS=n&amp;CSC=Y&amp;PAGE=booktext&amp;D=books&amp;AN=01382779$&amp;XPATH=/PG(0)&amp;EPUB=Y</v>
      </c>
      <c r="G612" t="s">
        <v>2139</v>
      </c>
      <c r="H612" t="s">
        <v>2974</v>
      </c>
      <c r="I612">
        <v>1206726</v>
      </c>
      <c r="J612" t="s">
        <v>3263</v>
      </c>
      <c r="K612" t="s">
        <v>2787</v>
      </c>
    </row>
    <row r="613" spans="1:11" x14ac:dyDescent="0.3">
      <c r="A613" t="s">
        <v>3845</v>
      </c>
      <c r="B613" t="s">
        <v>2192</v>
      </c>
      <c r="C613" t="s">
        <v>375</v>
      </c>
      <c r="D613" t="s">
        <v>4111</v>
      </c>
      <c r="E613" t="s">
        <v>404</v>
      </c>
      <c r="F613" s="1" t="str">
        <f>HYPERLINK("http://ovidsp.ovid.com/ovidweb.cgi?T=JS&amp;NEWS=n&amp;CSC=Y&amp;PAGE=booktext&amp;D=books&amp;AN=01429606$&amp;XPATH=/PG(0)&amp;EPUB=Y","http://ovidsp.ovid.com/ovidweb.cgi?T=JS&amp;NEWS=n&amp;CSC=Y&amp;PAGE=booktext&amp;D=books&amp;AN=01429606$&amp;XPATH=/PG(0)&amp;EPUB=Y")</f>
        <v>http://ovidsp.ovid.com/ovidweb.cgi?T=JS&amp;NEWS=n&amp;CSC=Y&amp;PAGE=booktext&amp;D=books&amp;AN=01429606$&amp;XPATH=/PG(0)&amp;EPUB=Y</v>
      </c>
      <c r="G613" t="s">
        <v>2139</v>
      </c>
      <c r="H613" t="s">
        <v>2974</v>
      </c>
      <c r="I613">
        <v>1206726</v>
      </c>
      <c r="J613" t="s">
        <v>3263</v>
      </c>
      <c r="K613" t="s">
        <v>1084</v>
      </c>
    </row>
    <row r="614" spans="1:11" x14ac:dyDescent="0.3">
      <c r="A614" t="s">
        <v>2927</v>
      </c>
      <c r="B614" t="s">
        <v>277</v>
      </c>
      <c r="C614" t="s">
        <v>1645</v>
      </c>
      <c r="D614" t="s">
        <v>4111</v>
      </c>
      <c r="E614" t="s">
        <v>1104</v>
      </c>
      <c r="F614" s="1" t="str">
        <f>HYPERLINK("http://ovidsp.ovid.com/ovidweb.cgi?T=JS&amp;NEWS=n&amp;CSC=Y&amp;PAGE=booktext&amp;D=books&amp;AN=01257042$&amp;XPATH=/PG(0)&amp;EPUB=Y","http://ovidsp.ovid.com/ovidweb.cgi?T=JS&amp;NEWS=n&amp;CSC=Y&amp;PAGE=booktext&amp;D=books&amp;AN=01257042$&amp;XPATH=/PG(0)&amp;EPUB=Y")</f>
        <v>http://ovidsp.ovid.com/ovidweb.cgi?T=JS&amp;NEWS=n&amp;CSC=Y&amp;PAGE=booktext&amp;D=books&amp;AN=01257042$&amp;XPATH=/PG(0)&amp;EPUB=Y</v>
      </c>
      <c r="G614" t="s">
        <v>2139</v>
      </c>
      <c r="H614" t="s">
        <v>2974</v>
      </c>
      <c r="I614">
        <v>1206726</v>
      </c>
      <c r="J614" t="s">
        <v>3263</v>
      </c>
      <c r="K614" t="s">
        <v>2445</v>
      </c>
    </row>
    <row r="615" spans="1:11" x14ac:dyDescent="0.3">
      <c r="A615" t="s">
        <v>3848</v>
      </c>
      <c r="B615" t="s">
        <v>1205</v>
      </c>
      <c r="C615" t="s">
        <v>2395</v>
      </c>
      <c r="D615" t="s">
        <v>4111</v>
      </c>
      <c r="E615" t="s">
        <v>3051</v>
      </c>
      <c r="F615" s="1" t="str">
        <f>HYPERLINK("http://ovidsp.ovid.com/ovidweb.cgi?T=JS&amp;NEWS=n&amp;CSC=Y&amp;PAGE=booktext&amp;D=books&amp;AN=01257018$&amp;XPATH=/PG(0)&amp;EPUB=Y","http://ovidsp.ovid.com/ovidweb.cgi?T=JS&amp;NEWS=n&amp;CSC=Y&amp;PAGE=booktext&amp;D=books&amp;AN=01257018$&amp;XPATH=/PG(0)&amp;EPUB=Y")</f>
        <v>http://ovidsp.ovid.com/ovidweb.cgi?T=JS&amp;NEWS=n&amp;CSC=Y&amp;PAGE=booktext&amp;D=books&amp;AN=01257018$&amp;XPATH=/PG(0)&amp;EPUB=Y</v>
      </c>
      <c r="G615" t="s">
        <v>2139</v>
      </c>
      <c r="H615" t="s">
        <v>2974</v>
      </c>
      <c r="I615">
        <v>1206726</v>
      </c>
      <c r="J615" t="s">
        <v>3263</v>
      </c>
      <c r="K615" t="s">
        <v>2500</v>
      </c>
    </row>
    <row r="616" spans="1:11" x14ac:dyDescent="0.3">
      <c r="A616" t="s">
        <v>2399</v>
      </c>
      <c r="B616" t="s">
        <v>4150</v>
      </c>
      <c r="C616" t="s">
        <v>1585</v>
      </c>
      <c r="D616" t="s">
        <v>4111</v>
      </c>
      <c r="E616" t="s">
        <v>404</v>
      </c>
      <c r="F616" s="1" t="str">
        <f>HYPERLINK("http://ovidsp.ovid.com/ovidweb.cgi?T=JS&amp;NEWS=n&amp;CSC=Y&amp;PAGE=booktext&amp;D=books&amp;AN=01439411$&amp;XPATH=/PG(0)&amp;EPUB=Y","http://ovidsp.ovid.com/ovidweb.cgi?T=JS&amp;NEWS=n&amp;CSC=Y&amp;PAGE=booktext&amp;D=books&amp;AN=01439411$&amp;XPATH=/PG(0)&amp;EPUB=Y")</f>
        <v>http://ovidsp.ovid.com/ovidweb.cgi?T=JS&amp;NEWS=n&amp;CSC=Y&amp;PAGE=booktext&amp;D=books&amp;AN=01439411$&amp;XPATH=/PG(0)&amp;EPUB=Y</v>
      </c>
      <c r="G616" t="s">
        <v>2139</v>
      </c>
      <c r="H616" t="s">
        <v>2974</v>
      </c>
      <c r="I616">
        <v>1206726</v>
      </c>
      <c r="J616" t="s">
        <v>3263</v>
      </c>
      <c r="K616" t="s">
        <v>576</v>
      </c>
    </row>
    <row r="617" spans="1:11" x14ac:dyDescent="0.3">
      <c r="A617" t="s">
        <v>1675</v>
      </c>
      <c r="B617" t="s">
        <v>1864</v>
      </c>
      <c r="C617" t="s">
        <v>1966</v>
      </c>
      <c r="D617" t="s">
        <v>4111</v>
      </c>
      <c r="E617" t="s">
        <v>3051</v>
      </c>
      <c r="F617" s="1" t="str">
        <f>HYPERLINK("http://ovidsp.ovid.com/ovidweb.cgi?T=JS&amp;NEWS=n&amp;CSC=Y&amp;PAGE=booktext&amp;D=books&amp;AN=01337300$&amp;XPATH=/PG(0)&amp;EPUB=Y","http://ovidsp.ovid.com/ovidweb.cgi?T=JS&amp;NEWS=n&amp;CSC=Y&amp;PAGE=booktext&amp;D=books&amp;AN=01337300$&amp;XPATH=/PG(0)&amp;EPUB=Y")</f>
        <v>http://ovidsp.ovid.com/ovidweb.cgi?T=JS&amp;NEWS=n&amp;CSC=Y&amp;PAGE=booktext&amp;D=books&amp;AN=01337300$&amp;XPATH=/PG(0)&amp;EPUB=Y</v>
      </c>
      <c r="G617" t="s">
        <v>2139</v>
      </c>
      <c r="H617" t="s">
        <v>2974</v>
      </c>
      <c r="I617">
        <v>1206726</v>
      </c>
      <c r="J617" t="s">
        <v>3263</v>
      </c>
      <c r="K617" t="s">
        <v>1264</v>
      </c>
    </row>
    <row r="618" spans="1:11" x14ac:dyDescent="0.3">
      <c r="A618" t="s">
        <v>1355</v>
      </c>
      <c r="B618" t="s">
        <v>3638</v>
      </c>
      <c r="C618" t="s">
        <v>3223</v>
      </c>
      <c r="D618" t="s">
        <v>4111</v>
      </c>
      <c r="E618" t="s">
        <v>2223</v>
      </c>
      <c r="F618" s="1" t="str">
        <f>HYPERLINK("http://ovidsp.ovid.com/ovidweb.cgi?T=JS&amp;NEWS=n&amp;CSC=Y&amp;PAGE=booktext&amp;D=books&amp;AN=01382857$&amp;XPATH=/PG(0)&amp;EPUB=Y","http://ovidsp.ovid.com/ovidweb.cgi?T=JS&amp;NEWS=n&amp;CSC=Y&amp;PAGE=booktext&amp;D=books&amp;AN=01382857$&amp;XPATH=/PG(0)&amp;EPUB=Y")</f>
        <v>http://ovidsp.ovid.com/ovidweb.cgi?T=JS&amp;NEWS=n&amp;CSC=Y&amp;PAGE=booktext&amp;D=books&amp;AN=01382857$&amp;XPATH=/PG(0)&amp;EPUB=Y</v>
      </c>
      <c r="G618" t="s">
        <v>2139</v>
      </c>
      <c r="H618" t="s">
        <v>2974</v>
      </c>
      <c r="I618">
        <v>1206726</v>
      </c>
      <c r="J618" t="s">
        <v>3263</v>
      </c>
      <c r="K618" t="s">
        <v>3811</v>
      </c>
    </row>
    <row r="619" spans="1:11" x14ac:dyDescent="0.3">
      <c r="A619" t="s">
        <v>1922</v>
      </c>
      <c r="B619" t="s">
        <v>3950</v>
      </c>
      <c r="C619" t="s">
        <v>1049</v>
      </c>
      <c r="D619" t="s">
        <v>4111</v>
      </c>
      <c r="E619" t="s">
        <v>3051</v>
      </c>
      <c r="F619" s="1" t="str">
        <f>HYPERLINK("http://ovidsp.ovid.com/ovidweb.cgi?T=JS&amp;NEWS=n&amp;CSC=Y&amp;PAGE=booktext&amp;D=books&amp;AN=00139944$&amp;XPATH=/PG(0)&amp;EPUB=Y","http://ovidsp.ovid.com/ovidweb.cgi?T=JS&amp;NEWS=n&amp;CSC=Y&amp;PAGE=booktext&amp;D=books&amp;AN=00139944$&amp;XPATH=/PG(0)&amp;EPUB=Y")</f>
        <v>http://ovidsp.ovid.com/ovidweb.cgi?T=JS&amp;NEWS=n&amp;CSC=Y&amp;PAGE=booktext&amp;D=books&amp;AN=00139944$&amp;XPATH=/PG(0)&amp;EPUB=Y</v>
      </c>
      <c r="G619" t="s">
        <v>2139</v>
      </c>
      <c r="H619" t="s">
        <v>2974</v>
      </c>
      <c r="I619">
        <v>1206726</v>
      </c>
      <c r="J619" t="s">
        <v>3263</v>
      </c>
      <c r="K619" t="s">
        <v>304</v>
      </c>
    </row>
    <row r="620" spans="1:11" x14ac:dyDescent="0.3">
      <c r="A620" t="s">
        <v>2999</v>
      </c>
      <c r="B620" t="s">
        <v>3741</v>
      </c>
      <c r="C620" t="s">
        <v>2840</v>
      </c>
      <c r="D620" t="s">
        <v>4111</v>
      </c>
      <c r="E620" t="s">
        <v>2876</v>
      </c>
      <c r="F620" s="1" t="str">
        <f>HYPERLINK("http://ovidsp.ovid.com/ovidweb.cgi?T=JS&amp;NEWS=n&amp;CSC=Y&amp;PAGE=booktext&amp;D=books&amp;AN=01382892$&amp;XPATH=/PG(0)&amp;EPUB=Y","http://ovidsp.ovid.com/ovidweb.cgi?T=JS&amp;NEWS=n&amp;CSC=Y&amp;PAGE=booktext&amp;D=books&amp;AN=01382892$&amp;XPATH=/PG(0)&amp;EPUB=Y")</f>
        <v>http://ovidsp.ovid.com/ovidweb.cgi?T=JS&amp;NEWS=n&amp;CSC=Y&amp;PAGE=booktext&amp;D=books&amp;AN=01382892$&amp;XPATH=/PG(0)&amp;EPUB=Y</v>
      </c>
      <c r="G620" t="s">
        <v>2139</v>
      </c>
      <c r="H620" t="s">
        <v>2974</v>
      </c>
      <c r="I620">
        <v>1206726</v>
      </c>
      <c r="J620" t="s">
        <v>3263</v>
      </c>
      <c r="K620" t="s">
        <v>3573</v>
      </c>
    </row>
    <row r="621" spans="1:11" x14ac:dyDescent="0.3">
      <c r="A621" t="s">
        <v>1885</v>
      </c>
      <c r="B621" t="s">
        <v>2790</v>
      </c>
      <c r="C621" t="s">
        <v>946</v>
      </c>
      <c r="D621" t="s">
        <v>4111</v>
      </c>
      <c r="E621" t="s">
        <v>3051</v>
      </c>
      <c r="F621" s="1" t="str">
        <f>HYPERLINK("http://ovidsp.ovid.com/ovidweb.cgi?T=JS&amp;NEWS=n&amp;CSC=Y&amp;PAGE=booktext&amp;D=books&amp;AN=01641763$&amp;XPATH=/PG(0)&amp;EPUB=Y","http://ovidsp.ovid.com/ovidweb.cgi?T=JS&amp;NEWS=n&amp;CSC=Y&amp;PAGE=booktext&amp;D=books&amp;AN=01641763$&amp;XPATH=/PG(0)&amp;EPUB=Y")</f>
        <v>http://ovidsp.ovid.com/ovidweb.cgi?T=JS&amp;NEWS=n&amp;CSC=Y&amp;PAGE=booktext&amp;D=books&amp;AN=01641763$&amp;XPATH=/PG(0)&amp;EPUB=Y</v>
      </c>
      <c r="G621" t="s">
        <v>2139</v>
      </c>
      <c r="H621" t="s">
        <v>2974</v>
      </c>
      <c r="I621">
        <v>1206726</v>
      </c>
      <c r="J621" t="s">
        <v>3263</v>
      </c>
      <c r="K621" t="s">
        <v>4162</v>
      </c>
    </row>
    <row r="622" spans="1:11" x14ac:dyDescent="0.3">
      <c r="A622" t="s">
        <v>968</v>
      </c>
      <c r="B622" t="s">
        <v>4065</v>
      </c>
      <c r="C622" t="s">
        <v>635</v>
      </c>
      <c r="D622" t="s">
        <v>4111</v>
      </c>
      <c r="E622" t="s">
        <v>2223</v>
      </c>
      <c r="F622" s="1" t="str">
        <f>HYPERLINK("http://ovidsp.ovid.com/ovidweb.cgi?T=JS&amp;NEWS=n&amp;CSC=Y&amp;PAGE=booktext&amp;D=books&amp;AN=01439412$&amp;XPATH=/PG(0)&amp;EPUB=Y","http://ovidsp.ovid.com/ovidweb.cgi?T=JS&amp;NEWS=n&amp;CSC=Y&amp;PAGE=booktext&amp;D=books&amp;AN=01439412$&amp;XPATH=/PG(0)&amp;EPUB=Y")</f>
        <v>http://ovidsp.ovid.com/ovidweb.cgi?T=JS&amp;NEWS=n&amp;CSC=Y&amp;PAGE=booktext&amp;D=books&amp;AN=01439412$&amp;XPATH=/PG(0)&amp;EPUB=Y</v>
      </c>
      <c r="G622" t="s">
        <v>2139</v>
      </c>
      <c r="H622" t="s">
        <v>2974</v>
      </c>
      <c r="I622">
        <v>1206726</v>
      </c>
      <c r="J622" t="s">
        <v>3263</v>
      </c>
      <c r="K622" t="s">
        <v>2848</v>
      </c>
    </row>
    <row r="623" spans="1:11" x14ac:dyDescent="0.3">
      <c r="A623" t="s">
        <v>54</v>
      </c>
      <c r="B623" t="s">
        <v>454</v>
      </c>
      <c r="C623" t="s">
        <v>4253</v>
      </c>
      <c r="D623" t="s">
        <v>4111</v>
      </c>
      <c r="E623" t="s">
        <v>1104</v>
      </c>
      <c r="F623" s="1" t="str">
        <f>HYPERLINK("http://ovidsp.ovid.com/ovidweb.cgi?T=JS&amp;NEWS=n&amp;CSC=Y&amp;PAGE=booktext&amp;D=books&amp;AN=00149844$&amp;XPATH=/PG(0)&amp;EPUB=Y","http://ovidsp.ovid.com/ovidweb.cgi?T=JS&amp;NEWS=n&amp;CSC=Y&amp;PAGE=booktext&amp;D=books&amp;AN=00149844$&amp;XPATH=/PG(0)&amp;EPUB=Y")</f>
        <v>http://ovidsp.ovid.com/ovidweb.cgi?T=JS&amp;NEWS=n&amp;CSC=Y&amp;PAGE=booktext&amp;D=books&amp;AN=00149844$&amp;XPATH=/PG(0)&amp;EPUB=Y</v>
      </c>
      <c r="G623" t="s">
        <v>2139</v>
      </c>
      <c r="H623" t="s">
        <v>2974</v>
      </c>
      <c r="I623">
        <v>1206726</v>
      </c>
      <c r="J623" t="s">
        <v>3263</v>
      </c>
      <c r="K623" t="s">
        <v>4332</v>
      </c>
    </row>
    <row r="624" spans="1:11" x14ac:dyDescent="0.3">
      <c r="A624" t="s">
        <v>1481</v>
      </c>
      <c r="B624" t="s">
        <v>3366</v>
      </c>
      <c r="C624" t="s">
        <v>1940</v>
      </c>
      <c r="D624" t="s">
        <v>4111</v>
      </c>
      <c r="E624" t="s">
        <v>1595</v>
      </c>
      <c r="F624" s="1" t="str">
        <f>HYPERLINK("http://ovidsp.ovid.com/ovidweb.cgi?T=JS&amp;NEWS=n&amp;CSC=Y&amp;PAGE=booktext&amp;D=books&amp;AN=01626611$&amp;XPATH=/PG(0)&amp;EPUB=Y","http://ovidsp.ovid.com/ovidweb.cgi?T=JS&amp;NEWS=n&amp;CSC=Y&amp;PAGE=booktext&amp;D=books&amp;AN=01626611$&amp;XPATH=/PG(0)&amp;EPUB=Y")</f>
        <v>http://ovidsp.ovid.com/ovidweb.cgi?T=JS&amp;NEWS=n&amp;CSC=Y&amp;PAGE=booktext&amp;D=books&amp;AN=01626611$&amp;XPATH=/PG(0)&amp;EPUB=Y</v>
      </c>
      <c r="G624" t="s">
        <v>2139</v>
      </c>
      <c r="H624" t="s">
        <v>2974</v>
      </c>
      <c r="I624">
        <v>1206726</v>
      </c>
      <c r="J624" t="s">
        <v>3263</v>
      </c>
      <c r="K624" t="s">
        <v>36</v>
      </c>
    </row>
    <row r="625" spans="1:11" x14ac:dyDescent="0.3">
      <c r="A625" t="s">
        <v>3528</v>
      </c>
      <c r="B625" t="s">
        <v>3932</v>
      </c>
      <c r="C625" t="s">
        <v>260</v>
      </c>
      <c r="D625" t="s">
        <v>4111</v>
      </c>
      <c r="E625" t="s">
        <v>3387</v>
      </c>
      <c r="F625" s="1" t="str">
        <f>HYPERLINK("http://ovidsp.ovid.com/ovidweb.cgi?T=JS&amp;NEWS=n&amp;CSC=Y&amp;PAGE=booktext&amp;D=books&amp;AN=01337648$&amp;XPATH=/PG(0)&amp;EPUB=Y","http://ovidsp.ovid.com/ovidweb.cgi?T=JS&amp;NEWS=n&amp;CSC=Y&amp;PAGE=booktext&amp;D=books&amp;AN=01337648$&amp;XPATH=/PG(0)&amp;EPUB=Y")</f>
        <v>http://ovidsp.ovid.com/ovidweb.cgi?T=JS&amp;NEWS=n&amp;CSC=Y&amp;PAGE=booktext&amp;D=books&amp;AN=01337648$&amp;XPATH=/PG(0)&amp;EPUB=Y</v>
      </c>
      <c r="G625" t="s">
        <v>2139</v>
      </c>
      <c r="H625" t="s">
        <v>2974</v>
      </c>
      <c r="I625">
        <v>1206726</v>
      </c>
      <c r="J625" t="s">
        <v>3263</v>
      </c>
      <c r="K625" t="s">
        <v>3384</v>
      </c>
    </row>
    <row r="626" spans="1:11" x14ac:dyDescent="0.3">
      <c r="A626" t="s">
        <v>2327</v>
      </c>
      <c r="B626" t="s">
        <v>3180</v>
      </c>
      <c r="C626" t="s">
        <v>1819</v>
      </c>
      <c r="D626" t="s">
        <v>4111</v>
      </c>
      <c r="E626" t="s">
        <v>2876</v>
      </c>
      <c r="F626" s="1" t="str">
        <f>HYPERLINK("http://ovidsp.ovid.com/ovidweb.cgi?T=JS&amp;NEWS=n&amp;CSC=Y&amp;PAGE=booktext&amp;D=books&amp;AN=00139948$&amp;XPATH=/PG(0)&amp;EPUB=Y","http://ovidsp.ovid.com/ovidweb.cgi?T=JS&amp;NEWS=n&amp;CSC=Y&amp;PAGE=booktext&amp;D=books&amp;AN=00139948$&amp;XPATH=/PG(0)&amp;EPUB=Y")</f>
        <v>http://ovidsp.ovid.com/ovidweb.cgi?T=JS&amp;NEWS=n&amp;CSC=Y&amp;PAGE=booktext&amp;D=books&amp;AN=00139948$&amp;XPATH=/PG(0)&amp;EPUB=Y</v>
      </c>
      <c r="G626" t="s">
        <v>2139</v>
      </c>
      <c r="H626" t="s">
        <v>2974</v>
      </c>
      <c r="I626">
        <v>1206726</v>
      </c>
      <c r="J626" t="s">
        <v>3263</v>
      </c>
      <c r="K626" t="s">
        <v>3654</v>
      </c>
    </row>
    <row r="627" spans="1:11" x14ac:dyDescent="0.3">
      <c r="A627" t="s">
        <v>2306</v>
      </c>
      <c r="B627" t="s">
        <v>1785</v>
      </c>
      <c r="C627" t="s">
        <v>559</v>
      </c>
      <c r="D627" t="s">
        <v>4111</v>
      </c>
      <c r="E627" t="s">
        <v>2876</v>
      </c>
      <c r="F627" s="1" t="str">
        <f>HYPERLINK("http://ovidsp.ovid.com/ovidweb.cgi?T=JS&amp;NEWS=n&amp;CSC=Y&amp;PAGE=booktext&amp;D=books&amp;AN=00139949$&amp;XPATH=/PG(0)&amp;EPUB=Y","http://ovidsp.ovid.com/ovidweb.cgi?T=JS&amp;NEWS=n&amp;CSC=Y&amp;PAGE=booktext&amp;D=books&amp;AN=00139949$&amp;XPATH=/PG(0)&amp;EPUB=Y")</f>
        <v>http://ovidsp.ovid.com/ovidweb.cgi?T=JS&amp;NEWS=n&amp;CSC=Y&amp;PAGE=booktext&amp;D=books&amp;AN=00139949$&amp;XPATH=/PG(0)&amp;EPUB=Y</v>
      </c>
      <c r="G627" t="s">
        <v>2139</v>
      </c>
      <c r="H627" t="s">
        <v>2974</v>
      </c>
      <c r="I627">
        <v>1206726</v>
      </c>
      <c r="J627" t="s">
        <v>3263</v>
      </c>
      <c r="K627" t="s">
        <v>4221</v>
      </c>
    </row>
    <row r="628" spans="1:11" x14ac:dyDescent="0.3">
      <c r="A628" t="s">
        <v>488</v>
      </c>
      <c r="B628" t="s">
        <v>4037</v>
      </c>
      <c r="C628" t="s">
        <v>247</v>
      </c>
      <c r="D628" t="s">
        <v>4111</v>
      </c>
      <c r="E628" t="s">
        <v>3387</v>
      </c>
      <c r="F628" s="1" t="str">
        <f>HYPERLINK("http://ovidsp.ovid.com/ovidweb.cgi?T=JS&amp;NEWS=n&amp;CSC=Y&amp;PAGE=booktext&amp;D=books&amp;AN=01382584$&amp;XPATH=/PG(0)&amp;EPUB=Y","http://ovidsp.ovid.com/ovidweb.cgi?T=JS&amp;NEWS=n&amp;CSC=Y&amp;PAGE=booktext&amp;D=books&amp;AN=01382584$&amp;XPATH=/PG(0)&amp;EPUB=Y")</f>
        <v>http://ovidsp.ovid.com/ovidweb.cgi?T=JS&amp;NEWS=n&amp;CSC=Y&amp;PAGE=booktext&amp;D=books&amp;AN=01382584$&amp;XPATH=/PG(0)&amp;EPUB=Y</v>
      </c>
      <c r="G628" t="s">
        <v>2139</v>
      </c>
      <c r="H628" t="s">
        <v>2974</v>
      </c>
      <c r="I628">
        <v>1206726</v>
      </c>
      <c r="J628" t="s">
        <v>3263</v>
      </c>
      <c r="K628" t="s">
        <v>61</v>
      </c>
    </row>
    <row r="629" spans="1:11" x14ac:dyDescent="0.3">
      <c r="A629" t="s">
        <v>996</v>
      </c>
      <c r="B629" t="s">
        <v>149</v>
      </c>
      <c r="C629" t="s">
        <v>1846</v>
      </c>
      <c r="D629" t="s">
        <v>4111</v>
      </c>
      <c r="E629" t="s">
        <v>404</v>
      </c>
      <c r="F629" s="1" t="str">
        <f>HYPERLINK("http://ovidsp.ovid.com/ovidweb.cgi?T=JS&amp;NEWS=n&amp;CSC=Y&amp;PAGE=booktext&amp;D=books&amp;AN=00139950$&amp;XPATH=/PG(0)&amp;EPUB=Y","http://ovidsp.ovid.com/ovidweb.cgi?T=JS&amp;NEWS=n&amp;CSC=Y&amp;PAGE=booktext&amp;D=books&amp;AN=00139950$&amp;XPATH=/PG(0)&amp;EPUB=Y")</f>
        <v>http://ovidsp.ovid.com/ovidweb.cgi?T=JS&amp;NEWS=n&amp;CSC=Y&amp;PAGE=booktext&amp;D=books&amp;AN=00139950$&amp;XPATH=/PG(0)&amp;EPUB=Y</v>
      </c>
      <c r="G629" t="s">
        <v>2139</v>
      </c>
      <c r="H629" t="s">
        <v>2974</v>
      </c>
      <c r="I629">
        <v>1206726</v>
      </c>
      <c r="J629" t="s">
        <v>3263</v>
      </c>
      <c r="K629" t="s">
        <v>116</v>
      </c>
    </row>
    <row r="630" spans="1:11" x14ac:dyDescent="0.3">
      <c r="A630" t="s">
        <v>2062</v>
      </c>
      <c r="B630" t="s">
        <v>2282</v>
      </c>
      <c r="C630" t="s">
        <v>4237</v>
      </c>
      <c r="D630" t="s">
        <v>4111</v>
      </c>
      <c r="E630" t="s">
        <v>1595</v>
      </c>
      <c r="F630" s="1" t="str">
        <f>HYPERLINK("http://ovidsp.ovid.com/ovidweb.cgi?T=JS&amp;NEWS=n&amp;CSC=Y&amp;PAGE=booktext&amp;D=books&amp;AN=01256970$&amp;XPATH=/PG(0)&amp;EPUB=Y","http://ovidsp.ovid.com/ovidweb.cgi?T=JS&amp;NEWS=n&amp;CSC=Y&amp;PAGE=booktext&amp;D=books&amp;AN=01256970$&amp;XPATH=/PG(0)&amp;EPUB=Y")</f>
        <v>http://ovidsp.ovid.com/ovidweb.cgi?T=JS&amp;NEWS=n&amp;CSC=Y&amp;PAGE=booktext&amp;D=books&amp;AN=01256970$&amp;XPATH=/PG(0)&amp;EPUB=Y</v>
      </c>
      <c r="G630" t="s">
        <v>2139</v>
      </c>
      <c r="H630" t="s">
        <v>2974</v>
      </c>
      <c r="I630">
        <v>1206726</v>
      </c>
      <c r="J630" t="s">
        <v>3263</v>
      </c>
      <c r="K630" t="s">
        <v>1336</v>
      </c>
    </row>
    <row r="631" spans="1:11" x14ac:dyDescent="0.3">
      <c r="A631" t="s">
        <v>534</v>
      </c>
      <c r="B631" t="s">
        <v>2855</v>
      </c>
      <c r="C631" t="s">
        <v>1666</v>
      </c>
      <c r="D631" t="s">
        <v>4111</v>
      </c>
      <c r="E631" t="s">
        <v>1104</v>
      </c>
      <c r="F631" s="1" t="str">
        <f>HYPERLINK("http://ovidsp.ovid.com/ovidweb.cgi?T=JS&amp;NEWS=n&amp;CSC=Y&amp;PAGE=booktext&amp;D=books&amp;AN=01337649$&amp;XPATH=/PG(0)&amp;EPUB=Y","http://ovidsp.ovid.com/ovidweb.cgi?T=JS&amp;NEWS=n&amp;CSC=Y&amp;PAGE=booktext&amp;D=books&amp;AN=01337649$&amp;XPATH=/PG(0)&amp;EPUB=Y")</f>
        <v>http://ovidsp.ovid.com/ovidweb.cgi?T=JS&amp;NEWS=n&amp;CSC=Y&amp;PAGE=booktext&amp;D=books&amp;AN=01337649$&amp;XPATH=/PG(0)&amp;EPUB=Y</v>
      </c>
      <c r="G631" t="s">
        <v>2139</v>
      </c>
      <c r="H631" t="s">
        <v>2974</v>
      </c>
      <c r="I631">
        <v>1206726</v>
      </c>
      <c r="J631" t="s">
        <v>3263</v>
      </c>
      <c r="K631" t="s">
        <v>1212</v>
      </c>
    </row>
    <row r="632" spans="1:11" x14ac:dyDescent="0.3">
      <c r="A632" t="s">
        <v>534</v>
      </c>
      <c r="B632" t="s">
        <v>2321</v>
      </c>
      <c r="C632" t="s">
        <v>219</v>
      </c>
      <c r="D632" t="s">
        <v>4111</v>
      </c>
      <c r="E632" t="s">
        <v>3051</v>
      </c>
      <c r="F632" s="1" t="str">
        <f>HYPERLINK("http://ovidsp.ovid.com/ovidweb.cgi?T=JS&amp;NEWS=n&amp;CSC=Y&amp;PAGE=booktext&amp;D=books&amp;AN=01626612$&amp;XPATH=/PG(0)&amp;EPUB=Y","http://ovidsp.ovid.com/ovidweb.cgi?T=JS&amp;NEWS=n&amp;CSC=Y&amp;PAGE=booktext&amp;D=books&amp;AN=01626612$&amp;XPATH=/PG(0)&amp;EPUB=Y")</f>
        <v>http://ovidsp.ovid.com/ovidweb.cgi?T=JS&amp;NEWS=n&amp;CSC=Y&amp;PAGE=booktext&amp;D=books&amp;AN=01626612$&amp;XPATH=/PG(0)&amp;EPUB=Y</v>
      </c>
      <c r="G632" t="s">
        <v>2139</v>
      </c>
      <c r="H632" t="s">
        <v>2974</v>
      </c>
      <c r="I632">
        <v>1206726</v>
      </c>
      <c r="J632" t="s">
        <v>3263</v>
      </c>
      <c r="K632" t="s">
        <v>860</v>
      </c>
    </row>
    <row r="633" spans="1:11" x14ac:dyDescent="0.3">
      <c r="A633" t="s">
        <v>1533</v>
      </c>
      <c r="B633" t="s">
        <v>178</v>
      </c>
      <c r="C633" t="s">
        <v>833</v>
      </c>
      <c r="D633" t="s">
        <v>4111</v>
      </c>
      <c r="E633" t="s">
        <v>3387</v>
      </c>
      <c r="F633" s="1" t="str">
        <f>HYPERLINK("http://ovidsp.ovid.com/ovidweb.cgi?T=JS&amp;NEWS=n&amp;CSC=Y&amp;PAGE=booktext&amp;D=books&amp;AN=01438872$&amp;XPATH=/PG(0)&amp;EPUB=Y","http://ovidsp.ovid.com/ovidweb.cgi?T=JS&amp;NEWS=n&amp;CSC=Y&amp;PAGE=booktext&amp;D=books&amp;AN=01438872$&amp;XPATH=/PG(0)&amp;EPUB=Y")</f>
        <v>http://ovidsp.ovid.com/ovidweb.cgi?T=JS&amp;NEWS=n&amp;CSC=Y&amp;PAGE=booktext&amp;D=books&amp;AN=01438872$&amp;XPATH=/PG(0)&amp;EPUB=Y</v>
      </c>
      <c r="G633" t="s">
        <v>2139</v>
      </c>
      <c r="H633" t="s">
        <v>2974</v>
      </c>
      <c r="I633">
        <v>1206726</v>
      </c>
      <c r="J633" t="s">
        <v>3263</v>
      </c>
      <c r="K633" t="s">
        <v>1930</v>
      </c>
    </row>
    <row r="634" spans="1:11" x14ac:dyDescent="0.3">
      <c r="A634" t="s">
        <v>1191</v>
      </c>
      <c r="B634" t="s">
        <v>552</v>
      </c>
      <c r="C634" t="s">
        <v>1105</v>
      </c>
      <c r="D634" t="s">
        <v>4111</v>
      </c>
      <c r="E634" t="s">
        <v>3051</v>
      </c>
      <c r="F634" s="1" t="str">
        <f>HYPERLINK("http://ovidsp.ovid.com/ovidweb.cgi?T=JS&amp;NEWS=n&amp;CSC=Y&amp;PAGE=booktext&amp;D=books&amp;AN=01429673$&amp;XPATH=/PG(0)&amp;EPUB=Y","http://ovidsp.ovid.com/ovidweb.cgi?T=JS&amp;NEWS=n&amp;CSC=Y&amp;PAGE=booktext&amp;D=books&amp;AN=01429673$&amp;XPATH=/PG(0)&amp;EPUB=Y")</f>
        <v>http://ovidsp.ovid.com/ovidweb.cgi?T=JS&amp;NEWS=n&amp;CSC=Y&amp;PAGE=booktext&amp;D=books&amp;AN=01429673$&amp;XPATH=/PG(0)&amp;EPUB=Y</v>
      </c>
      <c r="G634" t="s">
        <v>2139</v>
      </c>
      <c r="H634" t="s">
        <v>2974</v>
      </c>
      <c r="I634">
        <v>1206726</v>
      </c>
      <c r="J634" t="s">
        <v>3263</v>
      </c>
      <c r="K634" t="s">
        <v>4612</v>
      </c>
    </row>
    <row r="635" spans="1:11" x14ac:dyDescent="0.3">
      <c r="A635" t="s">
        <v>258</v>
      </c>
      <c r="B635" t="s">
        <v>1888</v>
      </c>
      <c r="C635" t="s">
        <v>1123</v>
      </c>
      <c r="D635" t="s">
        <v>4111</v>
      </c>
      <c r="E635" t="s">
        <v>404</v>
      </c>
      <c r="F635" s="1" t="str">
        <f>HYPERLINK("http://ovidsp.ovid.com/ovidweb.cgi?T=JS&amp;NEWS=n&amp;CSC=Y&amp;PAGE=booktext&amp;D=books&amp;AN=00139952$&amp;XPATH=/PG(0)&amp;EPUB=Y","http://ovidsp.ovid.com/ovidweb.cgi?T=JS&amp;NEWS=n&amp;CSC=Y&amp;PAGE=booktext&amp;D=books&amp;AN=00139952$&amp;XPATH=/PG(0)&amp;EPUB=Y")</f>
        <v>http://ovidsp.ovid.com/ovidweb.cgi?T=JS&amp;NEWS=n&amp;CSC=Y&amp;PAGE=booktext&amp;D=books&amp;AN=00139952$&amp;XPATH=/PG(0)&amp;EPUB=Y</v>
      </c>
      <c r="G635" t="s">
        <v>2139</v>
      </c>
      <c r="H635" t="s">
        <v>2974</v>
      </c>
      <c r="I635">
        <v>1206726</v>
      </c>
      <c r="J635" t="s">
        <v>3263</v>
      </c>
      <c r="K635" t="s">
        <v>1612</v>
      </c>
    </row>
    <row r="636" spans="1:11" x14ac:dyDescent="0.3">
      <c r="A636" t="s">
        <v>2767</v>
      </c>
      <c r="B636" t="s">
        <v>3834</v>
      </c>
      <c r="C636" t="s">
        <v>4157</v>
      </c>
      <c r="D636" t="s">
        <v>4111</v>
      </c>
      <c r="E636" t="s">
        <v>3051</v>
      </c>
      <c r="F636" s="1" t="str">
        <f>HYPERLINK("http://ovidsp.ovid.com/ovidweb.cgi?T=JS&amp;NEWS=n&amp;CSC=Y&amp;PAGE=booktext&amp;D=books&amp;AN=01337650$&amp;XPATH=/PG(0)&amp;EPUB=Y","http://ovidsp.ovid.com/ovidweb.cgi?T=JS&amp;NEWS=n&amp;CSC=Y&amp;PAGE=booktext&amp;D=books&amp;AN=01337650$&amp;XPATH=/PG(0)&amp;EPUB=Y")</f>
        <v>http://ovidsp.ovid.com/ovidweb.cgi?T=JS&amp;NEWS=n&amp;CSC=Y&amp;PAGE=booktext&amp;D=books&amp;AN=01337650$&amp;XPATH=/PG(0)&amp;EPUB=Y</v>
      </c>
      <c r="G636" t="s">
        <v>2139</v>
      </c>
      <c r="H636" t="s">
        <v>2974</v>
      </c>
      <c r="I636">
        <v>1206726</v>
      </c>
      <c r="J636" t="s">
        <v>3263</v>
      </c>
      <c r="K636" t="s">
        <v>1954</v>
      </c>
    </row>
    <row r="637" spans="1:11" x14ac:dyDescent="0.3">
      <c r="A637" t="s">
        <v>165</v>
      </c>
      <c r="B637" t="s">
        <v>3899</v>
      </c>
      <c r="C637" t="s">
        <v>1913</v>
      </c>
      <c r="D637" t="s">
        <v>4111</v>
      </c>
      <c r="E637" t="s">
        <v>2876</v>
      </c>
      <c r="F637" s="1" t="str">
        <f>HYPERLINK("http://ovidsp.ovid.com/ovidweb.cgi?T=JS&amp;NEWS=n&amp;CSC=Y&amp;PAGE=booktext&amp;D=books&amp;AN=01429694$&amp;XPATH=/PG(0)&amp;EPUB=Y","http://ovidsp.ovid.com/ovidweb.cgi?T=JS&amp;NEWS=n&amp;CSC=Y&amp;PAGE=booktext&amp;D=books&amp;AN=01429694$&amp;XPATH=/PG(0)&amp;EPUB=Y")</f>
        <v>http://ovidsp.ovid.com/ovidweb.cgi?T=JS&amp;NEWS=n&amp;CSC=Y&amp;PAGE=booktext&amp;D=books&amp;AN=01429694$&amp;XPATH=/PG(0)&amp;EPUB=Y</v>
      </c>
      <c r="G637" t="s">
        <v>2139</v>
      </c>
      <c r="H637" t="s">
        <v>2974</v>
      </c>
      <c r="I637">
        <v>1206726</v>
      </c>
      <c r="J637" t="s">
        <v>3263</v>
      </c>
      <c r="K637" t="s">
        <v>2251</v>
      </c>
    </row>
    <row r="638" spans="1:11" x14ac:dyDescent="0.3">
      <c r="A638" t="s">
        <v>3494</v>
      </c>
      <c r="B638" t="s">
        <v>2171</v>
      </c>
      <c r="C638" t="s">
        <v>353</v>
      </c>
      <c r="D638" t="s">
        <v>4111</v>
      </c>
      <c r="E638" t="s">
        <v>2970</v>
      </c>
      <c r="F638" s="1" t="str">
        <f>HYPERLINK("http://ovidsp.ovid.com/ovidweb.cgi?T=JS&amp;NEWS=n&amp;CSC=Y&amp;PAGE=booktext&amp;D=books&amp;AN=01337418$&amp;XPATH=/PG(0)&amp;EPUB=Y","http://ovidsp.ovid.com/ovidweb.cgi?T=JS&amp;NEWS=n&amp;CSC=Y&amp;PAGE=booktext&amp;D=books&amp;AN=01337418$&amp;XPATH=/PG(0)&amp;EPUB=Y")</f>
        <v>http://ovidsp.ovid.com/ovidweb.cgi?T=JS&amp;NEWS=n&amp;CSC=Y&amp;PAGE=booktext&amp;D=books&amp;AN=01337418$&amp;XPATH=/PG(0)&amp;EPUB=Y</v>
      </c>
      <c r="G638" t="s">
        <v>2139</v>
      </c>
      <c r="H638" t="s">
        <v>2974</v>
      </c>
      <c r="I638">
        <v>1206726</v>
      </c>
      <c r="J638" t="s">
        <v>3263</v>
      </c>
      <c r="K638" t="s">
        <v>4292</v>
      </c>
    </row>
    <row r="639" spans="1:11" x14ac:dyDescent="0.3">
      <c r="A639" t="s">
        <v>3494</v>
      </c>
      <c r="B639" t="s">
        <v>4478</v>
      </c>
      <c r="C639" t="s">
        <v>3484</v>
      </c>
      <c r="D639" t="s">
        <v>4111</v>
      </c>
      <c r="E639" t="s">
        <v>4250</v>
      </c>
      <c r="F639" s="1" t="str">
        <f>HYPERLINK("http://ovidsp.ovid.com/ovidweb.cgi?T=JS&amp;NEWS=n&amp;CSC=Y&amp;PAGE=booktext&amp;D=books&amp;AN=01787332$&amp;XPATH=/PG(0)&amp;EPUB=Y","http://ovidsp.ovid.com/ovidweb.cgi?T=JS&amp;NEWS=n&amp;CSC=Y&amp;PAGE=booktext&amp;D=books&amp;AN=01787332$&amp;XPATH=/PG(0)&amp;EPUB=Y")</f>
        <v>http://ovidsp.ovid.com/ovidweb.cgi?T=JS&amp;NEWS=n&amp;CSC=Y&amp;PAGE=booktext&amp;D=books&amp;AN=01787332$&amp;XPATH=/PG(0)&amp;EPUB=Y</v>
      </c>
      <c r="G639" t="s">
        <v>2139</v>
      </c>
      <c r="H639" t="s">
        <v>2974</v>
      </c>
      <c r="I639">
        <v>1206726</v>
      </c>
      <c r="J639" t="s">
        <v>3263</v>
      </c>
      <c r="K639" t="s">
        <v>4628</v>
      </c>
    </row>
    <row r="640" spans="1:11" x14ac:dyDescent="0.3">
      <c r="A640" t="s">
        <v>878</v>
      </c>
      <c r="B640" t="s">
        <v>72</v>
      </c>
      <c r="C640" t="s">
        <v>2905</v>
      </c>
      <c r="D640" t="s">
        <v>4111</v>
      </c>
      <c r="E640" t="s">
        <v>2223</v>
      </c>
      <c r="F640" s="1" t="str">
        <f>HYPERLINK("http://ovidsp.ovid.com/ovidweb.cgi?T=JS&amp;NEWS=n&amp;CSC=Y&amp;PAGE=booktext&amp;D=books&amp;AN=01337561$&amp;XPATH=/PG(0)&amp;EPUB=Y","http://ovidsp.ovid.com/ovidweb.cgi?T=JS&amp;NEWS=n&amp;CSC=Y&amp;PAGE=booktext&amp;D=books&amp;AN=01337561$&amp;XPATH=/PG(0)&amp;EPUB=Y")</f>
        <v>http://ovidsp.ovid.com/ovidweb.cgi?T=JS&amp;NEWS=n&amp;CSC=Y&amp;PAGE=booktext&amp;D=books&amp;AN=01337561$&amp;XPATH=/PG(0)&amp;EPUB=Y</v>
      </c>
      <c r="G640" t="s">
        <v>2139</v>
      </c>
      <c r="H640" t="s">
        <v>2974</v>
      </c>
      <c r="I640">
        <v>1206726</v>
      </c>
      <c r="J640" t="s">
        <v>3263</v>
      </c>
      <c r="K640" t="s">
        <v>936</v>
      </c>
    </row>
    <row r="641" spans="1:11" x14ac:dyDescent="0.3">
      <c r="A641" t="s">
        <v>1134</v>
      </c>
      <c r="B641" t="s">
        <v>1065</v>
      </c>
      <c r="C641" t="s">
        <v>960</v>
      </c>
      <c r="D641" t="s">
        <v>4111</v>
      </c>
      <c r="E641" t="s">
        <v>1595</v>
      </c>
      <c r="F641" s="1" t="str">
        <f>HYPERLINK("http://ovidsp.ovid.com/ovidweb.cgi?T=JS&amp;NEWS=n&amp;CSC=Y&amp;PAGE=booktext&amp;D=books&amp;AN=01438873$&amp;XPATH=/PG(0)&amp;EPUB=Y","http://ovidsp.ovid.com/ovidweb.cgi?T=JS&amp;NEWS=n&amp;CSC=Y&amp;PAGE=booktext&amp;D=books&amp;AN=01438873$&amp;XPATH=/PG(0)&amp;EPUB=Y")</f>
        <v>http://ovidsp.ovid.com/ovidweb.cgi?T=JS&amp;NEWS=n&amp;CSC=Y&amp;PAGE=booktext&amp;D=books&amp;AN=01438873$&amp;XPATH=/PG(0)&amp;EPUB=Y</v>
      </c>
      <c r="G641" t="s">
        <v>2139</v>
      </c>
      <c r="H641" t="s">
        <v>2974</v>
      </c>
      <c r="I641">
        <v>1206726</v>
      </c>
      <c r="J641" t="s">
        <v>3263</v>
      </c>
      <c r="K641" t="s">
        <v>1129</v>
      </c>
    </row>
    <row r="642" spans="1:11" x14ac:dyDescent="0.3">
      <c r="A642" t="s">
        <v>1689</v>
      </c>
      <c r="B642" t="s">
        <v>4514</v>
      </c>
      <c r="C642" t="s">
        <v>2381</v>
      </c>
      <c r="D642" t="s">
        <v>4111</v>
      </c>
      <c r="E642" t="s">
        <v>1595</v>
      </c>
      <c r="F642" s="1" t="str">
        <f>HYPERLINK("http://ovidsp.ovid.com/ovidweb.cgi?T=JS&amp;NEWS=n&amp;CSC=Y&amp;PAGE=booktext&amp;D=books&amp;AN=01435375$&amp;XPATH=/PG(0)&amp;EPUB=Y","http://ovidsp.ovid.com/ovidweb.cgi?T=JS&amp;NEWS=n&amp;CSC=Y&amp;PAGE=booktext&amp;D=books&amp;AN=01435375$&amp;XPATH=/PG(0)&amp;EPUB=Y")</f>
        <v>http://ovidsp.ovid.com/ovidweb.cgi?T=JS&amp;NEWS=n&amp;CSC=Y&amp;PAGE=booktext&amp;D=books&amp;AN=01435375$&amp;XPATH=/PG(0)&amp;EPUB=Y</v>
      </c>
      <c r="G642" t="s">
        <v>2139</v>
      </c>
      <c r="H642" t="s">
        <v>2974</v>
      </c>
      <c r="I642">
        <v>1206726</v>
      </c>
      <c r="J642" t="s">
        <v>3263</v>
      </c>
      <c r="K642" t="s">
        <v>106</v>
      </c>
    </row>
    <row r="643" spans="1:11" x14ac:dyDescent="0.3">
      <c r="A643" t="s">
        <v>4388</v>
      </c>
      <c r="B643" t="s">
        <v>560</v>
      </c>
      <c r="C643" t="s">
        <v>2577</v>
      </c>
      <c r="D643" t="s">
        <v>4111</v>
      </c>
      <c r="E643" t="s">
        <v>3051</v>
      </c>
      <c r="F643" s="1" t="str">
        <f>HYPERLINK("http://ovidsp.ovid.com/ovidweb.cgi?T=JS&amp;NEWS=n&amp;CSC=Y&amp;PAGE=booktext&amp;D=books&amp;AN=01382597$&amp;XPATH=/PG(0)&amp;EPUB=Y","http://ovidsp.ovid.com/ovidweb.cgi?T=JS&amp;NEWS=n&amp;CSC=Y&amp;PAGE=booktext&amp;D=books&amp;AN=01382597$&amp;XPATH=/PG(0)&amp;EPUB=Y")</f>
        <v>http://ovidsp.ovid.com/ovidweb.cgi?T=JS&amp;NEWS=n&amp;CSC=Y&amp;PAGE=booktext&amp;D=books&amp;AN=01382597$&amp;XPATH=/PG(0)&amp;EPUB=Y</v>
      </c>
      <c r="G643" t="s">
        <v>2139</v>
      </c>
      <c r="H643" t="s">
        <v>2974</v>
      </c>
      <c r="I643">
        <v>1206726</v>
      </c>
      <c r="J643" t="s">
        <v>3263</v>
      </c>
      <c r="K643" t="s">
        <v>2312</v>
      </c>
    </row>
    <row r="644" spans="1:11" x14ac:dyDescent="0.3">
      <c r="A644" t="s">
        <v>3900</v>
      </c>
      <c r="B644" t="s">
        <v>335</v>
      </c>
      <c r="C644" t="s">
        <v>214</v>
      </c>
      <c r="D644" t="s">
        <v>4111</v>
      </c>
      <c r="E644" t="s">
        <v>2876</v>
      </c>
      <c r="F644" s="1" t="str">
        <f>HYPERLINK("http://ovidsp.ovid.com/ovidweb.cgi?T=JS&amp;NEWS=n&amp;CSC=Y&amp;PAGE=booktext&amp;D=books&amp;AN=01382599$&amp;XPATH=/PG(0)&amp;EPUB=Y","http://ovidsp.ovid.com/ovidweb.cgi?T=JS&amp;NEWS=n&amp;CSC=Y&amp;PAGE=booktext&amp;D=books&amp;AN=01382599$&amp;XPATH=/PG(0)&amp;EPUB=Y")</f>
        <v>http://ovidsp.ovid.com/ovidweb.cgi?T=JS&amp;NEWS=n&amp;CSC=Y&amp;PAGE=booktext&amp;D=books&amp;AN=01382599$&amp;XPATH=/PG(0)&amp;EPUB=Y</v>
      </c>
      <c r="G644" t="s">
        <v>2139</v>
      </c>
      <c r="H644" t="s">
        <v>2974</v>
      </c>
      <c r="I644">
        <v>1206726</v>
      </c>
      <c r="J644" t="s">
        <v>3263</v>
      </c>
      <c r="K644" t="s">
        <v>107</v>
      </c>
    </row>
    <row r="645" spans="1:11" x14ac:dyDescent="0.3">
      <c r="A645" t="s">
        <v>684</v>
      </c>
      <c r="B645" t="s">
        <v>350</v>
      </c>
      <c r="C645" t="s">
        <v>3109</v>
      </c>
      <c r="D645" t="s">
        <v>4111</v>
      </c>
      <c r="E645" t="s">
        <v>1595</v>
      </c>
      <c r="F645" s="1" t="str">
        <f>HYPERLINK("http://ovidsp.ovid.com/ovidweb.cgi?T=JS&amp;NEWS=n&amp;CSC=Y&amp;PAGE=booktext&amp;D=books&amp;AN=01279709$&amp;XPATH=/PG(0)&amp;EPUB=Y","http://ovidsp.ovid.com/ovidweb.cgi?T=JS&amp;NEWS=n&amp;CSC=Y&amp;PAGE=booktext&amp;D=books&amp;AN=01279709$&amp;XPATH=/PG(0)&amp;EPUB=Y")</f>
        <v>http://ovidsp.ovid.com/ovidweb.cgi?T=JS&amp;NEWS=n&amp;CSC=Y&amp;PAGE=booktext&amp;D=books&amp;AN=01279709$&amp;XPATH=/PG(0)&amp;EPUB=Y</v>
      </c>
      <c r="G645" t="s">
        <v>2139</v>
      </c>
      <c r="H645" t="s">
        <v>2974</v>
      </c>
      <c r="I645">
        <v>1206726</v>
      </c>
      <c r="J645" t="s">
        <v>3263</v>
      </c>
      <c r="K645" t="s">
        <v>3238</v>
      </c>
    </row>
    <row r="646" spans="1:11" x14ac:dyDescent="0.3">
      <c r="A646" t="s">
        <v>3771</v>
      </c>
      <c r="B646" t="s">
        <v>1908</v>
      </c>
      <c r="C646" t="s">
        <v>1190</v>
      </c>
      <c r="D646" t="s">
        <v>4111</v>
      </c>
      <c r="E646" t="s">
        <v>3387</v>
      </c>
      <c r="F646" s="1" t="str">
        <f>HYPERLINK("http://ovidsp.ovid.com/ovidweb.cgi?T=JS&amp;NEWS=n&amp;CSC=Y&amp;PAGE=booktext&amp;D=books&amp;AN=01312066$&amp;XPATH=/PG(0)&amp;EPUB=Y","http://ovidsp.ovid.com/ovidweb.cgi?T=JS&amp;NEWS=n&amp;CSC=Y&amp;PAGE=booktext&amp;D=books&amp;AN=01312066$&amp;XPATH=/PG(0)&amp;EPUB=Y")</f>
        <v>http://ovidsp.ovid.com/ovidweb.cgi?T=JS&amp;NEWS=n&amp;CSC=Y&amp;PAGE=booktext&amp;D=books&amp;AN=01312066$&amp;XPATH=/PG(0)&amp;EPUB=Y</v>
      </c>
      <c r="G646" t="s">
        <v>2139</v>
      </c>
      <c r="H646" t="s">
        <v>2974</v>
      </c>
      <c r="I646">
        <v>1206726</v>
      </c>
      <c r="J646" t="s">
        <v>3263</v>
      </c>
      <c r="K646" t="s">
        <v>2996</v>
      </c>
    </row>
    <row r="647" spans="1:11" x14ac:dyDescent="0.3">
      <c r="A647" t="s">
        <v>1471</v>
      </c>
      <c r="B647" t="s">
        <v>1356</v>
      </c>
      <c r="C647" t="s">
        <v>4190</v>
      </c>
      <c r="D647" t="s">
        <v>4111</v>
      </c>
      <c r="E647" t="s">
        <v>2223</v>
      </c>
      <c r="F647" s="1" t="str">
        <f>HYPERLINK("http://ovidsp.ovid.com/ovidweb.cgi?T=JS&amp;NEWS=n&amp;CSC=Y&amp;PAGE=booktext&amp;D=books&amp;AN=01382563$&amp;XPATH=/PG(0)&amp;EPUB=Y","http://ovidsp.ovid.com/ovidweb.cgi?T=JS&amp;NEWS=n&amp;CSC=Y&amp;PAGE=booktext&amp;D=books&amp;AN=01382563$&amp;XPATH=/PG(0)&amp;EPUB=Y")</f>
        <v>http://ovidsp.ovid.com/ovidweb.cgi?T=JS&amp;NEWS=n&amp;CSC=Y&amp;PAGE=booktext&amp;D=books&amp;AN=01382563$&amp;XPATH=/PG(0)&amp;EPUB=Y</v>
      </c>
      <c r="G647" t="s">
        <v>2139</v>
      </c>
      <c r="H647" t="s">
        <v>2974</v>
      </c>
      <c r="I647">
        <v>1206726</v>
      </c>
      <c r="J647" t="s">
        <v>3263</v>
      </c>
      <c r="K647" t="s">
        <v>4394</v>
      </c>
    </row>
    <row r="648" spans="1:11" x14ac:dyDescent="0.3">
      <c r="A648" t="s">
        <v>1148</v>
      </c>
      <c r="B648" t="s">
        <v>3993</v>
      </c>
      <c r="C648" t="s">
        <v>3325</v>
      </c>
      <c r="D648" t="s">
        <v>4111</v>
      </c>
      <c r="E648" t="s">
        <v>3387</v>
      </c>
      <c r="F648" s="1" t="str">
        <f>HYPERLINK("http://ovidsp.ovid.com/ovidweb.cgi?T=JS&amp;NEWS=n&amp;CSC=Y&amp;PAGE=booktext&amp;D=books&amp;AN=01257021$&amp;XPATH=/PG(0)&amp;EPUB=Y","http://ovidsp.ovid.com/ovidweb.cgi?T=JS&amp;NEWS=n&amp;CSC=Y&amp;PAGE=booktext&amp;D=books&amp;AN=01257021$&amp;XPATH=/PG(0)&amp;EPUB=Y")</f>
        <v>http://ovidsp.ovid.com/ovidweb.cgi?T=JS&amp;NEWS=n&amp;CSC=Y&amp;PAGE=booktext&amp;D=books&amp;AN=01257021$&amp;XPATH=/PG(0)&amp;EPUB=Y</v>
      </c>
      <c r="G648" t="s">
        <v>2139</v>
      </c>
      <c r="H648" t="s">
        <v>2974</v>
      </c>
      <c r="I648">
        <v>1206726</v>
      </c>
      <c r="J648" t="s">
        <v>3263</v>
      </c>
      <c r="K648" t="s">
        <v>3801</v>
      </c>
    </row>
    <row r="649" spans="1:11" x14ac:dyDescent="0.3">
      <c r="A649" t="s">
        <v>1411</v>
      </c>
      <c r="B649" t="s">
        <v>1560</v>
      </c>
      <c r="C649" t="s">
        <v>2692</v>
      </c>
      <c r="D649" t="s">
        <v>4111</v>
      </c>
      <c r="E649" t="s">
        <v>3051</v>
      </c>
      <c r="F649" s="1" t="str">
        <f>HYPERLINK("http://ovidsp.ovid.com/ovidweb.cgi?T=JS&amp;NEWS=n&amp;CSC=Y&amp;PAGE=booktext&amp;D=books&amp;AN=00139957$&amp;XPATH=/PG(0)&amp;EPUB=Y","http://ovidsp.ovid.com/ovidweb.cgi?T=JS&amp;NEWS=n&amp;CSC=Y&amp;PAGE=booktext&amp;D=books&amp;AN=00139957$&amp;XPATH=/PG(0)&amp;EPUB=Y")</f>
        <v>http://ovidsp.ovid.com/ovidweb.cgi?T=JS&amp;NEWS=n&amp;CSC=Y&amp;PAGE=booktext&amp;D=books&amp;AN=00139957$&amp;XPATH=/PG(0)&amp;EPUB=Y</v>
      </c>
      <c r="G649" t="s">
        <v>2139</v>
      </c>
      <c r="H649" t="s">
        <v>2974</v>
      </c>
      <c r="I649">
        <v>1206726</v>
      </c>
      <c r="J649" t="s">
        <v>3263</v>
      </c>
      <c r="K649" t="s">
        <v>3794</v>
      </c>
    </row>
    <row r="650" spans="1:11" x14ac:dyDescent="0.3">
      <c r="A650" t="s">
        <v>807</v>
      </c>
      <c r="B650" t="s">
        <v>1346</v>
      </c>
      <c r="C650" t="s">
        <v>3678</v>
      </c>
      <c r="D650" t="s">
        <v>4111</v>
      </c>
      <c r="E650" t="s">
        <v>2223</v>
      </c>
      <c r="F650" s="1" t="str">
        <f>HYPERLINK("http://ovidsp.ovid.com/ovidweb.cgi?T=JS&amp;NEWS=n&amp;CSC=Y&amp;PAGE=booktext&amp;D=books&amp;AN=01382585$&amp;XPATH=/PG(0)&amp;EPUB=Y","http://ovidsp.ovid.com/ovidweb.cgi?T=JS&amp;NEWS=n&amp;CSC=Y&amp;PAGE=booktext&amp;D=books&amp;AN=01382585$&amp;XPATH=/PG(0)&amp;EPUB=Y")</f>
        <v>http://ovidsp.ovid.com/ovidweb.cgi?T=JS&amp;NEWS=n&amp;CSC=Y&amp;PAGE=booktext&amp;D=books&amp;AN=01382585$&amp;XPATH=/PG(0)&amp;EPUB=Y</v>
      </c>
      <c r="G650" t="s">
        <v>2139</v>
      </c>
      <c r="H650" t="s">
        <v>2974</v>
      </c>
      <c r="I650">
        <v>1206726</v>
      </c>
      <c r="J650" t="s">
        <v>3263</v>
      </c>
      <c r="K650" t="s">
        <v>2064</v>
      </c>
    </row>
    <row r="651" spans="1:11" x14ac:dyDescent="0.3">
      <c r="A651" t="s">
        <v>2028</v>
      </c>
      <c r="B651" t="s">
        <v>343</v>
      </c>
      <c r="C651" t="s">
        <v>26</v>
      </c>
      <c r="D651" t="s">
        <v>4111</v>
      </c>
      <c r="E651" t="s">
        <v>1595</v>
      </c>
      <c r="F651" s="1" t="str">
        <f>HYPERLINK("http://ovidsp.ovid.com/ovidweb.cgi?T=JS&amp;NEWS=n&amp;CSC=Y&amp;PAGE=booktext&amp;D=books&amp;AN=01257022$&amp;XPATH=/PG(0)&amp;EPUB=Y","http://ovidsp.ovid.com/ovidweb.cgi?T=JS&amp;NEWS=n&amp;CSC=Y&amp;PAGE=booktext&amp;D=books&amp;AN=01257022$&amp;XPATH=/PG(0)&amp;EPUB=Y")</f>
        <v>http://ovidsp.ovid.com/ovidweb.cgi?T=JS&amp;NEWS=n&amp;CSC=Y&amp;PAGE=booktext&amp;D=books&amp;AN=01257022$&amp;XPATH=/PG(0)&amp;EPUB=Y</v>
      </c>
      <c r="G651" t="s">
        <v>2139</v>
      </c>
      <c r="H651" t="s">
        <v>2974</v>
      </c>
      <c r="I651">
        <v>1206726</v>
      </c>
      <c r="J651" t="s">
        <v>3263</v>
      </c>
      <c r="K651" t="s">
        <v>2053</v>
      </c>
    </row>
    <row r="652" spans="1:11" x14ac:dyDescent="0.3">
      <c r="A652" t="s">
        <v>1095</v>
      </c>
      <c r="B652" t="s">
        <v>3320</v>
      </c>
      <c r="C652" t="s">
        <v>309</v>
      </c>
      <c r="D652" t="s">
        <v>4111</v>
      </c>
      <c r="E652" t="s">
        <v>2223</v>
      </c>
      <c r="F652" s="1" t="str">
        <f>HYPERLINK("http://ovidsp.ovid.com/ovidweb.cgi?T=JS&amp;NEWS=n&amp;CSC=Y&amp;PAGE=booktext&amp;D=books&amp;AN=01382586$&amp;XPATH=/PG(0)&amp;EPUB=Y","http://ovidsp.ovid.com/ovidweb.cgi?T=JS&amp;NEWS=n&amp;CSC=Y&amp;PAGE=booktext&amp;D=books&amp;AN=01382586$&amp;XPATH=/PG(0)&amp;EPUB=Y")</f>
        <v>http://ovidsp.ovid.com/ovidweb.cgi?T=JS&amp;NEWS=n&amp;CSC=Y&amp;PAGE=booktext&amp;D=books&amp;AN=01382586$&amp;XPATH=/PG(0)&amp;EPUB=Y</v>
      </c>
      <c r="G652" t="s">
        <v>2139</v>
      </c>
      <c r="H652" t="s">
        <v>2974</v>
      </c>
      <c r="I652">
        <v>1206726</v>
      </c>
      <c r="J652" t="s">
        <v>3263</v>
      </c>
      <c r="K652" t="s">
        <v>1758</v>
      </c>
    </row>
    <row r="653" spans="1:11" x14ac:dyDescent="0.3">
      <c r="A653" t="s">
        <v>927</v>
      </c>
      <c r="B653" t="s">
        <v>824</v>
      </c>
      <c r="C653" t="s">
        <v>1453</v>
      </c>
      <c r="D653" t="s">
        <v>4111</v>
      </c>
      <c r="E653" t="s">
        <v>1104</v>
      </c>
      <c r="F653" s="1" t="str">
        <f>HYPERLINK("http://ovidsp.ovid.com/ovidweb.cgi?T=JS&amp;NEWS=n&amp;CSC=Y&amp;PAGE=booktext&amp;D=books&amp;AN=01223025$&amp;XPATH=/PG(0)&amp;EPUB=Y","http://ovidsp.ovid.com/ovidweb.cgi?T=JS&amp;NEWS=n&amp;CSC=Y&amp;PAGE=booktext&amp;D=books&amp;AN=01223025$&amp;XPATH=/PG(0)&amp;EPUB=Y")</f>
        <v>http://ovidsp.ovid.com/ovidweb.cgi?T=JS&amp;NEWS=n&amp;CSC=Y&amp;PAGE=booktext&amp;D=books&amp;AN=01223025$&amp;XPATH=/PG(0)&amp;EPUB=Y</v>
      </c>
      <c r="G653" t="s">
        <v>2139</v>
      </c>
      <c r="H653" t="s">
        <v>2974</v>
      </c>
      <c r="I653">
        <v>1206726</v>
      </c>
      <c r="J653" t="s">
        <v>3263</v>
      </c>
      <c r="K653" t="s">
        <v>3497</v>
      </c>
    </row>
    <row r="654" spans="1:11" x14ac:dyDescent="0.3">
      <c r="A654" t="s">
        <v>1110</v>
      </c>
      <c r="B654" t="s">
        <v>2884</v>
      </c>
      <c r="C654" t="s">
        <v>4099</v>
      </c>
      <c r="D654" t="s">
        <v>4111</v>
      </c>
      <c r="E654" t="s">
        <v>404</v>
      </c>
      <c r="F654" s="1" t="str">
        <f>HYPERLINK("http://ovidsp.ovid.com/ovidweb.cgi?T=JS&amp;NEWS=n&amp;CSC=Y&amp;PAGE=booktext&amp;D=books&amp;AN=01279750$&amp;XPATH=/PG(0)&amp;EPUB=Y","http://ovidsp.ovid.com/ovidweb.cgi?T=JS&amp;NEWS=n&amp;CSC=Y&amp;PAGE=booktext&amp;D=books&amp;AN=01279750$&amp;XPATH=/PG(0)&amp;EPUB=Y")</f>
        <v>http://ovidsp.ovid.com/ovidweb.cgi?T=JS&amp;NEWS=n&amp;CSC=Y&amp;PAGE=booktext&amp;D=books&amp;AN=01279750$&amp;XPATH=/PG(0)&amp;EPUB=Y</v>
      </c>
      <c r="G654" t="s">
        <v>2139</v>
      </c>
      <c r="H654" t="s">
        <v>2974</v>
      </c>
      <c r="I654">
        <v>1206726</v>
      </c>
      <c r="J654" t="s">
        <v>3263</v>
      </c>
      <c r="K654" t="s">
        <v>2095</v>
      </c>
    </row>
    <row r="655" spans="1:11" x14ac:dyDescent="0.3">
      <c r="A655" t="s">
        <v>3430</v>
      </c>
      <c r="B655" t="s">
        <v>3685</v>
      </c>
      <c r="C655" t="s">
        <v>1635</v>
      </c>
      <c r="D655" t="s">
        <v>4111</v>
      </c>
      <c r="E655" t="s">
        <v>404</v>
      </c>
      <c r="F655" s="1" t="str">
        <f>HYPERLINK("http://ovidsp.ovid.com/ovidweb.cgi?T=JS&amp;NEWS=n&amp;CSC=Y&amp;PAGE=booktext&amp;D=books&amp;AN=01438874$&amp;XPATH=/PG(0)&amp;EPUB=Y","http://ovidsp.ovid.com/ovidweb.cgi?T=JS&amp;NEWS=n&amp;CSC=Y&amp;PAGE=booktext&amp;D=books&amp;AN=01438874$&amp;XPATH=/PG(0)&amp;EPUB=Y")</f>
        <v>http://ovidsp.ovid.com/ovidweb.cgi?T=JS&amp;NEWS=n&amp;CSC=Y&amp;PAGE=booktext&amp;D=books&amp;AN=01438874$&amp;XPATH=/PG(0)&amp;EPUB=Y</v>
      </c>
      <c r="G655" t="s">
        <v>2139</v>
      </c>
      <c r="H655" t="s">
        <v>2974</v>
      </c>
      <c r="I655">
        <v>1206726</v>
      </c>
      <c r="J655" t="s">
        <v>3263</v>
      </c>
      <c r="K655" t="s">
        <v>2330</v>
      </c>
    </row>
    <row r="656" spans="1:11" x14ac:dyDescent="0.3">
      <c r="A656" t="s">
        <v>3304</v>
      </c>
      <c r="B656" t="s">
        <v>3561</v>
      </c>
      <c r="C656" t="s">
        <v>2989</v>
      </c>
      <c r="D656" t="s">
        <v>4111</v>
      </c>
      <c r="E656" t="s">
        <v>535</v>
      </c>
      <c r="F656" s="1" t="str">
        <f>HYPERLINK("http://ovidsp.ovid.com/ovidweb.cgi?T=JS&amp;NEWS=n&amp;CSC=Y&amp;PAGE=booktext&amp;D=books&amp;AN=01329157$&amp;XPATH=/PG(0)&amp;EPUB=Y","http://ovidsp.ovid.com/ovidweb.cgi?T=JS&amp;NEWS=n&amp;CSC=Y&amp;PAGE=booktext&amp;D=books&amp;AN=01329157$&amp;XPATH=/PG(0)&amp;EPUB=Y")</f>
        <v>http://ovidsp.ovid.com/ovidweb.cgi?T=JS&amp;NEWS=n&amp;CSC=Y&amp;PAGE=booktext&amp;D=books&amp;AN=01329157$&amp;XPATH=/PG(0)&amp;EPUB=Y</v>
      </c>
      <c r="G656" t="s">
        <v>2139</v>
      </c>
      <c r="H656" t="s">
        <v>2974</v>
      </c>
      <c r="I656">
        <v>1206726</v>
      </c>
      <c r="J656" t="s">
        <v>3263</v>
      </c>
      <c r="K656" t="s">
        <v>1773</v>
      </c>
    </row>
    <row r="657" spans="1:11" x14ac:dyDescent="0.3">
      <c r="A657" t="s">
        <v>4043</v>
      </c>
      <c r="B657" t="s">
        <v>1276</v>
      </c>
      <c r="C657" t="s">
        <v>3504</v>
      </c>
      <c r="D657" t="s">
        <v>4111</v>
      </c>
      <c r="E657" t="s">
        <v>1104</v>
      </c>
      <c r="F657" s="1" t="str">
        <f>HYPERLINK("http://ovidsp.ovid.com/ovidweb.cgi?T=JS&amp;NEWS=n&amp;CSC=Y&amp;PAGE=booktext&amp;D=books&amp;AN=01382588$&amp;XPATH=/PG(0)&amp;EPUB=Y","http://ovidsp.ovid.com/ovidweb.cgi?T=JS&amp;NEWS=n&amp;CSC=Y&amp;PAGE=booktext&amp;D=books&amp;AN=01382588$&amp;XPATH=/PG(0)&amp;EPUB=Y")</f>
        <v>http://ovidsp.ovid.com/ovidweb.cgi?T=JS&amp;NEWS=n&amp;CSC=Y&amp;PAGE=booktext&amp;D=books&amp;AN=01382588$&amp;XPATH=/PG(0)&amp;EPUB=Y</v>
      </c>
      <c r="G657" t="s">
        <v>2139</v>
      </c>
      <c r="H657" t="s">
        <v>2974</v>
      </c>
      <c r="I657">
        <v>1206726</v>
      </c>
      <c r="J657" t="s">
        <v>3263</v>
      </c>
      <c r="K657" t="s">
        <v>903</v>
      </c>
    </row>
    <row r="658" spans="1:11" x14ac:dyDescent="0.3">
      <c r="A658" t="s">
        <v>4017</v>
      </c>
      <c r="B658" t="s">
        <v>2768</v>
      </c>
      <c r="C658" t="s">
        <v>3307</v>
      </c>
      <c r="D658" t="s">
        <v>4111</v>
      </c>
      <c r="E658" t="s">
        <v>404</v>
      </c>
      <c r="F658" s="1" t="str">
        <f>HYPERLINK("http://ovidsp.ovid.com/ovidweb.cgi?T=JS&amp;NEWS=n&amp;CSC=Y&amp;PAGE=booktext&amp;D=books&amp;AN=01279719$&amp;XPATH=/PG(0)&amp;EPUB=Y","http://ovidsp.ovid.com/ovidweb.cgi?T=JS&amp;NEWS=n&amp;CSC=Y&amp;PAGE=booktext&amp;D=books&amp;AN=01279719$&amp;XPATH=/PG(0)&amp;EPUB=Y")</f>
        <v>http://ovidsp.ovid.com/ovidweb.cgi?T=JS&amp;NEWS=n&amp;CSC=Y&amp;PAGE=booktext&amp;D=books&amp;AN=01279719$&amp;XPATH=/PG(0)&amp;EPUB=Y</v>
      </c>
      <c r="G658" t="s">
        <v>2139</v>
      </c>
      <c r="H658" t="s">
        <v>2974</v>
      </c>
      <c r="I658">
        <v>1206726</v>
      </c>
      <c r="J658" t="s">
        <v>3263</v>
      </c>
      <c r="K658" t="s">
        <v>4100</v>
      </c>
    </row>
    <row r="659" spans="1:11" x14ac:dyDescent="0.3">
      <c r="A659" t="s">
        <v>512</v>
      </c>
      <c r="B659" t="s">
        <v>1872</v>
      </c>
      <c r="C659" t="s">
        <v>2720</v>
      </c>
      <c r="D659" t="s">
        <v>4111</v>
      </c>
      <c r="E659" t="s">
        <v>1104</v>
      </c>
      <c r="F659" s="1" t="str">
        <f>HYPERLINK("http://ovidsp.ovid.com/ovidweb.cgi?T=JS&amp;NEWS=n&amp;CSC=Y&amp;PAGE=booktext&amp;D=books&amp;AN=00139962$&amp;XPATH=/PG(0)&amp;EPUB=Y","http://ovidsp.ovid.com/ovidweb.cgi?T=JS&amp;NEWS=n&amp;CSC=Y&amp;PAGE=booktext&amp;D=books&amp;AN=00139962$&amp;XPATH=/PG(0)&amp;EPUB=Y")</f>
        <v>http://ovidsp.ovid.com/ovidweb.cgi?T=JS&amp;NEWS=n&amp;CSC=Y&amp;PAGE=booktext&amp;D=books&amp;AN=00139962$&amp;XPATH=/PG(0)&amp;EPUB=Y</v>
      </c>
      <c r="G659" t="s">
        <v>2139</v>
      </c>
      <c r="H659" t="s">
        <v>2974</v>
      </c>
      <c r="I659">
        <v>1206726</v>
      </c>
      <c r="J659" t="s">
        <v>3263</v>
      </c>
      <c r="K659" t="s">
        <v>1357</v>
      </c>
    </row>
    <row r="660" spans="1:11" x14ac:dyDescent="0.3">
      <c r="A660" t="s">
        <v>1214</v>
      </c>
      <c r="B660" t="s">
        <v>84</v>
      </c>
      <c r="C660" t="s">
        <v>4707</v>
      </c>
      <c r="D660" t="s">
        <v>4111</v>
      </c>
      <c r="E660" t="s">
        <v>2223</v>
      </c>
      <c r="F660" s="1" t="str">
        <f>HYPERLINK("http://ovidsp.ovid.com/ovidweb.cgi?T=JS&amp;NEWS=n&amp;CSC=Y&amp;PAGE=booktext&amp;D=books&amp;AN=01434794$&amp;XPATH=/PG(0)&amp;EPUB=Y","http://ovidsp.ovid.com/ovidweb.cgi?T=JS&amp;NEWS=n&amp;CSC=Y&amp;PAGE=booktext&amp;D=books&amp;AN=01434794$&amp;XPATH=/PG(0)&amp;EPUB=Y")</f>
        <v>http://ovidsp.ovid.com/ovidweb.cgi?T=JS&amp;NEWS=n&amp;CSC=Y&amp;PAGE=booktext&amp;D=books&amp;AN=01434794$&amp;XPATH=/PG(0)&amp;EPUB=Y</v>
      </c>
      <c r="G660" t="s">
        <v>2139</v>
      </c>
      <c r="H660" t="s">
        <v>2974</v>
      </c>
      <c r="I660">
        <v>1206726</v>
      </c>
      <c r="J660" t="s">
        <v>3263</v>
      </c>
      <c r="K660" t="s">
        <v>2578</v>
      </c>
    </row>
    <row r="661" spans="1:11" x14ac:dyDescent="0.3">
      <c r="A661" t="s">
        <v>909</v>
      </c>
      <c r="B661" t="s">
        <v>4175</v>
      </c>
      <c r="C661" t="s">
        <v>932</v>
      </c>
      <c r="D661" t="s">
        <v>4111</v>
      </c>
      <c r="E661" t="s">
        <v>2223</v>
      </c>
      <c r="F661" s="1" t="str">
        <f>HYPERLINK("http://ovidsp.ovid.com/ovidweb.cgi?T=JS&amp;NEWS=n&amp;CSC=Y&amp;PAGE=booktext&amp;D=books&amp;AN=01439414$&amp;XPATH=/PG(0)&amp;EPUB=Y","http://ovidsp.ovid.com/ovidweb.cgi?T=JS&amp;NEWS=n&amp;CSC=Y&amp;PAGE=booktext&amp;D=books&amp;AN=01439414$&amp;XPATH=/PG(0)&amp;EPUB=Y")</f>
        <v>http://ovidsp.ovid.com/ovidweb.cgi?T=JS&amp;NEWS=n&amp;CSC=Y&amp;PAGE=booktext&amp;D=books&amp;AN=01439414$&amp;XPATH=/PG(0)&amp;EPUB=Y</v>
      </c>
      <c r="G661" t="s">
        <v>2139</v>
      </c>
      <c r="H661" t="s">
        <v>2974</v>
      </c>
      <c r="I661">
        <v>1206726</v>
      </c>
      <c r="J661" t="s">
        <v>3263</v>
      </c>
      <c r="K661" t="s">
        <v>3153</v>
      </c>
    </row>
    <row r="662" spans="1:11" x14ac:dyDescent="0.3">
      <c r="A662" t="s">
        <v>3097</v>
      </c>
      <c r="B662" t="s">
        <v>777</v>
      </c>
      <c r="C662" t="s">
        <v>1026</v>
      </c>
      <c r="D662" t="s">
        <v>4111</v>
      </c>
      <c r="E662" t="s">
        <v>2223</v>
      </c>
      <c r="F662" s="1" t="str">
        <f>HYPERLINK("http://ovidsp.ovid.com/ovidweb.cgi?T=JS&amp;NEWS=n&amp;CSC=Y&amp;PAGE=booktext&amp;D=books&amp;AN=01439415$&amp;XPATH=/PG(0)&amp;EPUB=Y","http://ovidsp.ovid.com/ovidweb.cgi?T=JS&amp;NEWS=n&amp;CSC=Y&amp;PAGE=booktext&amp;D=books&amp;AN=01439415$&amp;XPATH=/PG(0)&amp;EPUB=Y")</f>
        <v>http://ovidsp.ovid.com/ovidweb.cgi?T=JS&amp;NEWS=n&amp;CSC=Y&amp;PAGE=booktext&amp;D=books&amp;AN=01439415$&amp;XPATH=/PG(0)&amp;EPUB=Y</v>
      </c>
      <c r="G662" t="s">
        <v>2139</v>
      </c>
      <c r="H662" t="s">
        <v>2974</v>
      </c>
      <c r="I662">
        <v>1206726</v>
      </c>
      <c r="J662" t="s">
        <v>3263</v>
      </c>
      <c r="K662" t="s">
        <v>1106</v>
      </c>
    </row>
    <row r="663" spans="1:11" x14ac:dyDescent="0.3">
      <c r="A663" t="s">
        <v>2612</v>
      </c>
      <c r="B663" t="s">
        <v>2788</v>
      </c>
      <c r="C663" t="s">
        <v>238</v>
      </c>
      <c r="D663" t="s">
        <v>4111</v>
      </c>
      <c r="E663" t="s">
        <v>2223</v>
      </c>
      <c r="F663" s="1" t="str">
        <f>HYPERLINK("http://ovidsp.ovid.com/ovidweb.cgi?T=JS&amp;NEWS=n&amp;CSC=Y&amp;PAGE=booktext&amp;D=books&amp;AN=01437541$&amp;XPATH=/PG(0)&amp;EPUB=Y","http://ovidsp.ovid.com/ovidweb.cgi?T=JS&amp;NEWS=n&amp;CSC=Y&amp;PAGE=booktext&amp;D=books&amp;AN=01437541$&amp;XPATH=/PG(0)&amp;EPUB=Y")</f>
        <v>http://ovidsp.ovid.com/ovidweb.cgi?T=JS&amp;NEWS=n&amp;CSC=Y&amp;PAGE=booktext&amp;D=books&amp;AN=01437541$&amp;XPATH=/PG(0)&amp;EPUB=Y</v>
      </c>
      <c r="G663" t="s">
        <v>2139</v>
      </c>
      <c r="H663" t="s">
        <v>2974</v>
      </c>
      <c r="I663">
        <v>1206726</v>
      </c>
      <c r="J663" t="s">
        <v>3263</v>
      </c>
      <c r="K663" t="s">
        <v>2471</v>
      </c>
    </row>
    <row r="664" spans="1:11" x14ac:dyDescent="0.3">
      <c r="A664" t="s">
        <v>3017</v>
      </c>
      <c r="B664" t="s">
        <v>2168</v>
      </c>
      <c r="C664" t="s">
        <v>240</v>
      </c>
      <c r="D664" t="s">
        <v>4111</v>
      </c>
      <c r="E664" t="s">
        <v>404</v>
      </c>
      <c r="F664" s="1" t="str">
        <f>HYPERLINK("http://ovidsp.ovid.com/ovidweb.cgi?T=JS&amp;NEWS=n&amp;CSC=Y&amp;PAGE=booktext&amp;D=books&amp;AN=01257023$&amp;XPATH=/PG(0)&amp;EPUB=Y","http://ovidsp.ovid.com/ovidweb.cgi?T=JS&amp;NEWS=n&amp;CSC=Y&amp;PAGE=booktext&amp;D=books&amp;AN=01257023$&amp;XPATH=/PG(0)&amp;EPUB=Y")</f>
        <v>http://ovidsp.ovid.com/ovidweb.cgi?T=JS&amp;NEWS=n&amp;CSC=Y&amp;PAGE=booktext&amp;D=books&amp;AN=01257023$&amp;XPATH=/PG(0)&amp;EPUB=Y</v>
      </c>
      <c r="G664" t="s">
        <v>2139</v>
      </c>
      <c r="H664" t="s">
        <v>2974</v>
      </c>
      <c r="I664">
        <v>1206726</v>
      </c>
      <c r="J664" t="s">
        <v>3263</v>
      </c>
      <c r="K664" t="s">
        <v>3835</v>
      </c>
    </row>
    <row r="665" spans="1:11" x14ac:dyDescent="0.3">
      <c r="A665" t="s">
        <v>3782</v>
      </c>
      <c r="B665" t="s">
        <v>3985</v>
      </c>
      <c r="C665" t="s">
        <v>3437</v>
      </c>
      <c r="D665" t="s">
        <v>4111</v>
      </c>
      <c r="E665" t="s">
        <v>1104</v>
      </c>
      <c r="F665" s="1" t="str">
        <f>HYPERLINK("http://ovidsp.ovid.com/ovidweb.cgi?T=JS&amp;NEWS=n&amp;CSC=Y&amp;PAGE=booktext&amp;D=books&amp;AN=01337299$&amp;XPATH=/PG(0)&amp;EPUB=Y","http://ovidsp.ovid.com/ovidweb.cgi?T=JS&amp;NEWS=n&amp;CSC=Y&amp;PAGE=booktext&amp;D=books&amp;AN=01337299$&amp;XPATH=/PG(0)&amp;EPUB=Y")</f>
        <v>http://ovidsp.ovid.com/ovidweb.cgi?T=JS&amp;NEWS=n&amp;CSC=Y&amp;PAGE=booktext&amp;D=books&amp;AN=01337299$&amp;XPATH=/PG(0)&amp;EPUB=Y</v>
      </c>
      <c r="G665" t="s">
        <v>2139</v>
      </c>
      <c r="H665" t="s">
        <v>2974</v>
      </c>
      <c r="I665">
        <v>1206726</v>
      </c>
      <c r="J665" t="s">
        <v>3263</v>
      </c>
      <c r="K665" t="s">
        <v>4164</v>
      </c>
    </row>
    <row r="666" spans="1:11" x14ac:dyDescent="0.3">
      <c r="A666" t="s">
        <v>3892</v>
      </c>
      <c r="B666" t="s">
        <v>1667</v>
      </c>
      <c r="C666" t="s">
        <v>543</v>
      </c>
      <c r="D666" t="s">
        <v>4111</v>
      </c>
      <c r="E666" t="s">
        <v>2223</v>
      </c>
      <c r="F666" s="1" t="str">
        <f>HYPERLINK("http://ovidsp.ovid.com/ovidweb.cgi?T=JS&amp;NEWS=n&amp;CSC=Y&amp;PAGE=booktext&amp;D=books&amp;AN=01437556$&amp;XPATH=/PG(0)&amp;EPUB=Y","http://ovidsp.ovid.com/ovidweb.cgi?T=JS&amp;NEWS=n&amp;CSC=Y&amp;PAGE=booktext&amp;D=books&amp;AN=01437556$&amp;XPATH=/PG(0)&amp;EPUB=Y")</f>
        <v>http://ovidsp.ovid.com/ovidweb.cgi?T=JS&amp;NEWS=n&amp;CSC=Y&amp;PAGE=booktext&amp;D=books&amp;AN=01437556$&amp;XPATH=/PG(0)&amp;EPUB=Y</v>
      </c>
      <c r="G666" t="s">
        <v>2139</v>
      </c>
      <c r="H666" t="s">
        <v>2974</v>
      </c>
      <c r="I666">
        <v>1206726</v>
      </c>
      <c r="J666" t="s">
        <v>3263</v>
      </c>
      <c r="K666" t="s">
        <v>4627</v>
      </c>
    </row>
    <row r="667" spans="1:11" x14ac:dyDescent="0.3">
      <c r="A667" t="s">
        <v>2599</v>
      </c>
      <c r="B667" t="s">
        <v>3018</v>
      </c>
      <c r="C667" t="s">
        <v>3925</v>
      </c>
      <c r="D667" t="s">
        <v>4111</v>
      </c>
      <c r="E667" t="s">
        <v>2223</v>
      </c>
      <c r="F667" s="1" t="str">
        <f>HYPERLINK("http://ovidsp.ovid.com/ovidweb.cgi?T=JS&amp;NEWS=n&amp;CSC=Y&amp;PAGE=booktext&amp;D=books&amp;AN=01276468$&amp;XPATH=/PG(0)&amp;EPUB=Y","http://ovidsp.ovid.com/ovidweb.cgi?T=JS&amp;NEWS=n&amp;CSC=Y&amp;PAGE=booktext&amp;D=books&amp;AN=01276468$&amp;XPATH=/PG(0)&amp;EPUB=Y")</f>
        <v>http://ovidsp.ovid.com/ovidweb.cgi?T=JS&amp;NEWS=n&amp;CSC=Y&amp;PAGE=booktext&amp;D=books&amp;AN=01276468$&amp;XPATH=/PG(0)&amp;EPUB=Y</v>
      </c>
      <c r="G667" t="s">
        <v>2139</v>
      </c>
      <c r="H667" t="s">
        <v>2974</v>
      </c>
      <c r="I667">
        <v>1206726</v>
      </c>
      <c r="J667" t="s">
        <v>3263</v>
      </c>
      <c r="K667" t="s">
        <v>3617</v>
      </c>
    </row>
    <row r="668" spans="1:11" x14ac:dyDescent="0.3">
      <c r="A668" t="s">
        <v>1603</v>
      </c>
      <c r="B668" t="s">
        <v>1283</v>
      </c>
      <c r="C668" t="s">
        <v>1038</v>
      </c>
      <c r="D668" t="s">
        <v>4111</v>
      </c>
      <c r="E668" t="s">
        <v>1104</v>
      </c>
      <c r="F668" s="1" t="str">
        <f>HYPERLINK("http://ovidsp.ovid.com/ovidweb.cgi?T=JS&amp;NEWS=n&amp;CSC=Y&amp;PAGE=booktext&amp;D=books&amp;AN=01284352$&amp;XPATH=/PG(0)&amp;EPUB=Y","http://ovidsp.ovid.com/ovidweb.cgi?T=JS&amp;NEWS=n&amp;CSC=Y&amp;PAGE=booktext&amp;D=books&amp;AN=01284352$&amp;XPATH=/PG(0)&amp;EPUB=Y")</f>
        <v>http://ovidsp.ovid.com/ovidweb.cgi?T=JS&amp;NEWS=n&amp;CSC=Y&amp;PAGE=booktext&amp;D=books&amp;AN=01284352$&amp;XPATH=/PG(0)&amp;EPUB=Y</v>
      </c>
      <c r="G668" t="s">
        <v>2139</v>
      </c>
      <c r="H668" t="s">
        <v>2974</v>
      </c>
      <c r="I668">
        <v>1206726</v>
      </c>
      <c r="J668" t="s">
        <v>3263</v>
      </c>
      <c r="K668" t="s">
        <v>1200</v>
      </c>
    </row>
    <row r="669" spans="1:11" x14ac:dyDescent="0.3">
      <c r="A669" t="s">
        <v>1866</v>
      </c>
      <c r="B669" t="s">
        <v>406</v>
      </c>
      <c r="C669" t="s">
        <v>3285</v>
      </c>
      <c r="D669" t="s">
        <v>4111</v>
      </c>
      <c r="E669" t="s">
        <v>2223</v>
      </c>
      <c r="F669" s="1" t="str">
        <f>HYPERLINK("http://ovidsp.ovid.com/ovidweb.cgi?T=JS&amp;NEWS=n&amp;CSC=Y&amp;PAGE=booktext&amp;D=books&amp;AN=01276469$&amp;XPATH=/PG(0)&amp;EPUB=Y","http://ovidsp.ovid.com/ovidweb.cgi?T=JS&amp;NEWS=n&amp;CSC=Y&amp;PAGE=booktext&amp;D=books&amp;AN=01276469$&amp;XPATH=/PG(0)&amp;EPUB=Y")</f>
        <v>http://ovidsp.ovid.com/ovidweb.cgi?T=JS&amp;NEWS=n&amp;CSC=Y&amp;PAGE=booktext&amp;D=books&amp;AN=01276469$&amp;XPATH=/PG(0)&amp;EPUB=Y</v>
      </c>
      <c r="G669" t="s">
        <v>2139</v>
      </c>
      <c r="H669" t="s">
        <v>2974</v>
      </c>
      <c r="I669">
        <v>1206726</v>
      </c>
      <c r="J669" t="s">
        <v>3263</v>
      </c>
      <c r="K669" t="s">
        <v>1033</v>
      </c>
    </row>
    <row r="670" spans="1:11" x14ac:dyDescent="0.3">
      <c r="A670" t="s">
        <v>2147</v>
      </c>
      <c r="B670" t="s">
        <v>953</v>
      </c>
      <c r="C670" t="s">
        <v>1857</v>
      </c>
      <c r="D670" t="s">
        <v>4111</v>
      </c>
      <c r="E670" t="s">
        <v>2223</v>
      </c>
      <c r="F670" s="1" t="str">
        <f>HYPERLINK("http://ovidsp.ovid.com/ovidweb.cgi?T=JS&amp;NEWS=n&amp;CSC=Y&amp;PAGE=booktext&amp;D=books&amp;AN=01276470$&amp;XPATH=/PG(0)&amp;EPUB=Y","http://ovidsp.ovid.com/ovidweb.cgi?T=JS&amp;NEWS=n&amp;CSC=Y&amp;PAGE=booktext&amp;D=books&amp;AN=01276470$&amp;XPATH=/PG(0)&amp;EPUB=Y")</f>
        <v>http://ovidsp.ovid.com/ovidweb.cgi?T=JS&amp;NEWS=n&amp;CSC=Y&amp;PAGE=booktext&amp;D=books&amp;AN=01276470$&amp;XPATH=/PG(0)&amp;EPUB=Y</v>
      </c>
      <c r="G670" t="s">
        <v>2139</v>
      </c>
      <c r="H670" t="s">
        <v>2974</v>
      </c>
      <c r="I670">
        <v>1206726</v>
      </c>
      <c r="J670" t="s">
        <v>3263</v>
      </c>
      <c r="K670" t="s">
        <v>923</v>
      </c>
    </row>
    <row r="671" spans="1:11" x14ac:dyDescent="0.3">
      <c r="A671" t="s">
        <v>3289</v>
      </c>
      <c r="B671" t="s">
        <v>397</v>
      </c>
      <c r="C671" t="s">
        <v>3277</v>
      </c>
      <c r="D671" t="s">
        <v>4111</v>
      </c>
      <c r="E671" t="s">
        <v>2223</v>
      </c>
      <c r="F671" s="1" t="str">
        <f>HYPERLINK("http://ovidsp.ovid.com/ovidweb.cgi?T=JS&amp;NEWS=n&amp;CSC=Y&amp;PAGE=booktext&amp;D=books&amp;AN=01437542$&amp;XPATH=/PG(0)&amp;EPUB=Y","http://ovidsp.ovid.com/ovidweb.cgi?T=JS&amp;NEWS=n&amp;CSC=Y&amp;PAGE=booktext&amp;D=books&amp;AN=01437542$&amp;XPATH=/PG(0)&amp;EPUB=Y")</f>
        <v>http://ovidsp.ovid.com/ovidweb.cgi?T=JS&amp;NEWS=n&amp;CSC=Y&amp;PAGE=booktext&amp;D=books&amp;AN=01437542$&amp;XPATH=/PG(0)&amp;EPUB=Y</v>
      </c>
      <c r="G671" t="s">
        <v>2139</v>
      </c>
      <c r="H671" t="s">
        <v>2974</v>
      </c>
      <c r="I671">
        <v>1206726</v>
      </c>
      <c r="J671" t="s">
        <v>3263</v>
      </c>
      <c r="K671" t="s">
        <v>102</v>
      </c>
    </row>
    <row r="672" spans="1:11" x14ac:dyDescent="0.3">
      <c r="A672" t="s">
        <v>2277</v>
      </c>
      <c r="B672" t="s">
        <v>3792</v>
      </c>
      <c r="C672" t="s">
        <v>185</v>
      </c>
      <c r="D672" t="s">
        <v>4111</v>
      </c>
      <c r="E672" t="s">
        <v>404</v>
      </c>
      <c r="F672" s="1" t="str">
        <f>HYPERLINK("http://ovidsp.ovid.com/ovidweb.cgi?T=JS&amp;NEWS=n&amp;CSC=Y&amp;PAGE=booktext&amp;D=books&amp;AN=01257024$&amp;XPATH=/PG(0)&amp;EPUB=Y","http://ovidsp.ovid.com/ovidweb.cgi?T=JS&amp;NEWS=n&amp;CSC=Y&amp;PAGE=booktext&amp;D=books&amp;AN=01257024$&amp;XPATH=/PG(0)&amp;EPUB=Y")</f>
        <v>http://ovidsp.ovid.com/ovidweb.cgi?T=JS&amp;NEWS=n&amp;CSC=Y&amp;PAGE=booktext&amp;D=books&amp;AN=01257024$&amp;XPATH=/PG(0)&amp;EPUB=Y</v>
      </c>
      <c r="G672" t="s">
        <v>2139</v>
      </c>
      <c r="H672" t="s">
        <v>2974</v>
      </c>
      <c r="I672">
        <v>1206726</v>
      </c>
      <c r="J672" t="s">
        <v>3263</v>
      </c>
      <c r="K672" t="s">
        <v>709</v>
      </c>
    </row>
    <row r="673" spans="1:11" x14ac:dyDescent="0.3">
      <c r="A673" t="s">
        <v>3229</v>
      </c>
      <c r="B673" t="s">
        <v>1600</v>
      </c>
      <c r="C673" t="s">
        <v>4330</v>
      </c>
      <c r="D673" t="s">
        <v>4111</v>
      </c>
      <c r="E673" t="s">
        <v>404</v>
      </c>
      <c r="F673" s="1" t="str">
        <f>HYPERLINK("http://ovidsp.ovid.com/ovidweb.cgi?T=JS&amp;NEWS=n&amp;CSC=Y&amp;PAGE=booktext&amp;D=books&amp;AN=01382607$&amp;XPATH=/PG(0)&amp;EPUB=Y","http://ovidsp.ovid.com/ovidweb.cgi?T=JS&amp;NEWS=n&amp;CSC=Y&amp;PAGE=booktext&amp;D=books&amp;AN=01382607$&amp;XPATH=/PG(0)&amp;EPUB=Y")</f>
        <v>http://ovidsp.ovid.com/ovidweb.cgi?T=JS&amp;NEWS=n&amp;CSC=Y&amp;PAGE=booktext&amp;D=books&amp;AN=01382607$&amp;XPATH=/PG(0)&amp;EPUB=Y</v>
      </c>
      <c r="G673" t="s">
        <v>2139</v>
      </c>
      <c r="H673" t="s">
        <v>2974</v>
      </c>
      <c r="I673">
        <v>1206726</v>
      </c>
      <c r="J673" t="s">
        <v>3263</v>
      </c>
      <c r="K673" t="s">
        <v>155</v>
      </c>
    </row>
    <row r="674" spans="1:11" x14ac:dyDescent="0.3">
      <c r="A674" t="s">
        <v>196</v>
      </c>
      <c r="B674" t="s">
        <v>2132</v>
      </c>
      <c r="C674" t="s">
        <v>4469</v>
      </c>
      <c r="D674" t="s">
        <v>4111</v>
      </c>
      <c r="E674" t="s">
        <v>404</v>
      </c>
      <c r="F674" s="1" t="str">
        <f>HYPERLINK("http://ovidsp.ovid.com/ovidweb.cgi?T=JS&amp;NEWS=n&amp;CSC=Y&amp;PAGE=booktext&amp;D=books&amp;AN=01787350$&amp;XPATH=/PG(0)&amp;EPUB=Y","http://ovidsp.ovid.com/ovidweb.cgi?T=JS&amp;NEWS=n&amp;CSC=Y&amp;PAGE=booktext&amp;D=books&amp;AN=01787350$&amp;XPATH=/PG(0)&amp;EPUB=Y")</f>
        <v>http://ovidsp.ovid.com/ovidweb.cgi?T=JS&amp;NEWS=n&amp;CSC=Y&amp;PAGE=booktext&amp;D=books&amp;AN=01787350$&amp;XPATH=/PG(0)&amp;EPUB=Y</v>
      </c>
      <c r="G674" t="s">
        <v>2139</v>
      </c>
      <c r="H674" t="s">
        <v>2974</v>
      </c>
      <c r="I674">
        <v>1206726</v>
      </c>
      <c r="J674" t="s">
        <v>3263</v>
      </c>
      <c r="K674" t="s">
        <v>2776</v>
      </c>
    </row>
    <row r="675" spans="1:11" x14ac:dyDescent="0.3">
      <c r="A675" t="s">
        <v>924</v>
      </c>
      <c r="B675" t="s">
        <v>1970</v>
      </c>
      <c r="C675" t="s">
        <v>4203</v>
      </c>
      <c r="D675" t="s">
        <v>4111</v>
      </c>
      <c r="E675" t="s">
        <v>404</v>
      </c>
      <c r="F675" s="1" t="str">
        <f>HYPERLINK("http://ovidsp.ovid.com/ovidweb.cgi?T=JS&amp;NEWS=n&amp;CSC=Y&amp;PAGE=booktext&amp;D=books&amp;AN=01382608$&amp;XPATH=/PG(0)&amp;EPUB=Y","http://ovidsp.ovid.com/ovidweb.cgi?T=JS&amp;NEWS=n&amp;CSC=Y&amp;PAGE=booktext&amp;D=books&amp;AN=01382608$&amp;XPATH=/PG(0)&amp;EPUB=Y")</f>
        <v>http://ovidsp.ovid.com/ovidweb.cgi?T=JS&amp;NEWS=n&amp;CSC=Y&amp;PAGE=booktext&amp;D=books&amp;AN=01382608$&amp;XPATH=/PG(0)&amp;EPUB=Y</v>
      </c>
      <c r="G675" t="s">
        <v>2139</v>
      </c>
      <c r="H675" t="s">
        <v>2974</v>
      </c>
      <c r="I675">
        <v>1206726</v>
      </c>
      <c r="J675" t="s">
        <v>3263</v>
      </c>
      <c r="K675" t="s">
        <v>4732</v>
      </c>
    </row>
    <row r="676" spans="1:11" x14ac:dyDescent="0.3">
      <c r="A676" t="s">
        <v>3840</v>
      </c>
      <c r="B676" t="s">
        <v>3521</v>
      </c>
      <c r="C676" t="s">
        <v>2421</v>
      </c>
      <c r="D676" t="s">
        <v>4111</v>
      </c>
      <c r="E676" t="s">
        <v>404</v>
      </c>
      <c r="F676" s="1" t="str">
        <f>HYPERLINK("http://ovidsp.ovid.com/ovidweb.cgi?T=JS&amp;NEWS=n&amp;CSC=Y&amp;PAGE=booktext&amp;D=books&amp;AN=01382613$&amp;XPATH=/PG(0)&amp;EPUB=Y","http://ovidsp.ovid.com/ovidweb.cgi?T=JS&amp;NEWS=n&amp;CSC=Y&amp;PAGE=booktext&amp;D=books&amp;AN=01382613$&amp;XPATH=/PG(0)&amp;EPUB=Y")</f>
        <v>http://ovidsp.ovid.com/ovidweb.cgi?T=JS&amp;NEWS=n&amp;CSC=Y&amp;PAGE=booktext&amp;D=books&amp;AN=01382613$&amp;XPATH=/PG(0)&amp;EPUB=Y</v>
      </c>
      <c r="G676" t="s">
        <v>2139</v>
      </c>
      <c r="H676" t="s">
        <v>2974</v>
      </c>
      <c r="I676">
        <v>1206726</v>
      </c>
      <c r="J676" t="s">
        <v>3263</v>
      </c>
      <c r="K676" t="s">
        <v>3691</v>
      </c>
    </row>
    <row r="677" spans="1:11" x14ac:dyDescent="0.3">
      <c r="A677" t="s">
        <v>2742</v>
      </c>
      <c r="B677" t="s">
        <v>1460</v>
      </c>
      <c r="C677" t="s">
        <v>929</v>
      </c>
      <c r="D677" t="s">
        <v>4111</v>
      </c>
      <c r="E677" t="s">
        <v>404</v>
      </c>
      <c r="F677" s="1" t="str">
        <f>HYPERLINK("http://ovidsp.ovid.com/ovidweb.cgi?T=JS&amp;NEWS=n&amp;CSC=Y&amp;PAGE=booktext&amp;D=books&amp;AN=01382614$&amp;XPATH=/PG(0)&amp;EPUB=Y","http://ovidsp.ovid.com/ovidweb.cgi?T=JS&amp;NEWS=n&amp;CSC=Y&amp;PAGE=booktext&amp;D=books&amp;AN=01382614$&amp;XPATH=/PG(0)&amp;EPUB=Y")</f>
        <v>http://ovidsp.ovid.com/ovidweb.cgi?T=JS&amp;NEWS=n&amp;CSC=Y&amp;PAGE=booktext&amp;D=books&amp;AN=01382614$&amp;XPATH=/PG(0)&amp;EPUB=Y</v>
      </c>
      <c r="G677" t="s">
        <v>2139</v>
      </c>
      <c r="H677" t="s">
        <v>2974</v>
      </c>
      <c r="I677">
        <v>1206726</v>
      </c>
      <c r="J677" t="s">
        <v>3263</v>
      </c>
      <c r="K677" t="s">
        <v>1589</v>
      </c>
    </row>
    <row r="678" spans="1:11" x14ac:dyDescent="0.3">
      <c r="A678" t="s">
        <v>3802</v>
      </c>
      <c r="B678" t="s">
        <v>3537</v>
      </c>
      <c r="C678" t="s">
        <v>4695</v>
      </c>
      <c r="D678" t="s">
        <v>4111</v>
      </c>
      <c r="E678" t="s">
        <v>1104</v>
      </c>
      <c r="F678" s="1" t="str">
        <f>HYPERLINK("http://ovidsp.ovid.com/ovidweb.cgi?T=JS&amp;NEWS=n&amp;CSC=Y&amp;PAGE=booktext&amp;D=books&amp;AN=01412551$&amp;XPATH=/PG(0)&amp;EPUB=Y","http://ovidsp.ovid.com/ovidweb.cgi?T=JS&amp;NEWS=n&amp;CSC=Y&amp;PAGE=booktext&amp;D=books&amp;AN=01412551$&amp;XPATH=/PG(0)&amp;EPUB=Y")</f>
        <v>http://ovidsp.ovid.com/ovidweb.cgi?T=JS&amp;NEWS=n&amp;CSC=Y&amp;PAGE=booktext&amp;D=books&amp;AN=01412551$&amp;XPATH=/PG(0)&amp;EPUB=Y</v>
      </c>
      <c r="G678" t="s">
        <v>2139</v>
      </c>
      <c r="H678" t="s">
        <v>2974</v>
      </c>
      <c r="I678">
        <v>1206726</v>
      </c>
      <c r="J678" t="s">
        <v>3263</v>
      </c>
      <c r="K678" t="s">
        <v>2716</v>
      </c>
    </row>
    <row r="679" spans="1:11" x14ac:dyDescent="0.3">
      <c r="A679" t="s">
        <v>2796</v>
      </c>
      <c r="B679" t="s">
        <v>1936</v>
      </c>
      <c r="C679" t="s">
        <v>2834</v>
      </c>
      <c r="D679" t="s">
        <v>4111</v>
      </c>
      <c r="E679" t="s">
        <v>2223</v>
      </c>
      <c r="F679" s="1" t="str">
        <f>HYPERLINK("http://ovidsp.ovid.com/ovidweb.cgi?T=JS&amp;NEWS=n&amp;CSC=Y&amp;PAGE=booktext&amp;D=books&amp;AN=01382611$&amp;XPATH=/PG(0)&amp;EPUB=Y","http://ovidsp.ovid.com/ovidweb.cgi?T=JS&amp;NEWS=n&amp;CSC=Y&amp;PAGE=booktext&amp;D=books&amp;AN=01382611$&amp;XPATH=/PG(0)&amp;EPUB=Y")</f>
        <v>http://ovidsp.ovid.com/ovidweb.cgi?T=JS&amp;NEWS=n&amp;CSC=Y&amp;PAGE=booktext&amp;D=books&amp;AN=01382611$&amp;XPATH=/PG(0)&amp;EPUB=Y</v>
      </c>
      <c r="G679" t="s">
        <v>2139</v>
      </c>
      <c r="H679" t="s">
        <v>2974</v>
      </c>
      <c r="I679">
        <v>1206726</v>
      </c>
      <c r="J679" t="s">
        <v>3263</v>
      </c>
      <c r="K679" t="s">
        <v>1254</v>
      </c>
    </row>
    <row r="680" spans="1:11" x14ac:dyDescent="0.3">
      <c r="A680" t="s">
        <v>1728</v>
      </c>
      <c r="B680" t="s">
        <v>4260</v>
      </c>
      <c r="C680" t="s">
        <v>547</v>
      </c>
      <c r="D680" t="s">
        <v>4111</v>
      </c>
      <c r="E680" t="s">
        <v>2223</v>
      </c>
      <c r="F680" s="1" t="str">
        <f>HYPERLINK("http://ovidsp.ovid.com/ovidweb.cgi?T=JS&amp;NEWS=n&amp;CSC=Y&amp;PAGE=booktext&amp;D=books&amp;AN=01439416$&amp;XPATH=/PG(0)&amp;EPUB=Y","http://ovidsp.ovid.com/ovidweb.cgi?T=JS&amp;NEWS=n&amp;CSC=Y&amp;PAGE=booktext&amp;D=books&amp;AN=01439416$&amp;XPATH=/PG(0)&amp;EPUB=Y")</f>
        <v>http://ovidsp.ovid.com/ovidweb.cgi?T=JS&amp;NEWS=n&amp;CSC=Y&amp;PAGE=booktext&amp;D=books&amp;AN=01439416$&amp;XPATH=/PG(0)&amp;EPUB=Y</v>
      </c>
      <c r="G680" t="s">
        <v>2139</v>
      </c>
      <c r="H680" t="s">
        <v>2974</v>
      </c>
      <c r="I680">
        <v>1206726</v>
      </c>
      <c r="J680" t="s">
        <v>3263</v>
      </c>
      <c r="K680" t="s">
        <v>3438</v>
      </c>
    </row>
    <row r="681" spans="1:11" x14ac:dyDescent="0.3">
      <c r="A681" t="s">
        <v>3186</v>
      </c>
      <c r="B681" t="s">
        <v>278</v>
      </c>
      <c r="C681" t="s">
        <v>4168</v>
      </c>
      <c r="D681" t="s">
        <v>4111</v>
      </c>
      <c r="E681" t="s">
        <v>404</v>
      </c>
      <c r="F681" s="1" t="str">
        <f>HYPERLINK("http://ovidsp.ovid.com/ovidweb.cgi?T=JS&amp;NEWS=n&amp;CSC=Y&amp;PAGE=booktext&amp;D=books&amp;AN=01382860$&amp;XPATH=/PG(0)&amp;EPUB=Y","http://ovidsp.ovid.com/ovidweb.cgi?T=JS&amp;NEWS=n&amp;CSC=Y&amp;PAGE=booktext&amp;D=books&amp;AN=01382860$&amp;XPATH=/PG(0)&amp;EPUB=Y")</f>
        <v>http://ovidsp.ovid.com/ovidweb.cgi?T=JS&amp;NEWS=n&amp;CSC=Y&amp;PAGE=booktext&amp;D=books&amp;AN=01382860$&amp;XPATH=/PG(0)&amp;EPUB=Y</v>
      </c>
      <c r="G681" t="s">
        <v>2139</v>
      </c>
      <c r="H681" t="s">
        <v>2974</v>
      </c>
      <c r="I681">
        <v>1206726</v>
      </c>
      <c r="J681" t="s">
        <v>3263</v>
      </c>
      <c r="K681" t="s">
        <v>1655</v>
      </c>
    </row>
    <row r="682" spans="1:11" x14ac:dyDescent="0.3">
      <c r="A682" t="s">
        <v>577</v>
      </c>
      <c r="B682" t="s">
        <v>1786</v>
      </c>
      <c r="C682" t="s">
        <v>3137</v>
      </c>
      <c r="D682" t="s">
        <v>4111</v>
      </c>
      <c r="E682" t="s">
        <v>2223</v>
      </c>
      <c r="F682" s="1" t="str">
        <f>HYPERLINK("http://ovidsp.ovid.com/ovidweb.cgi?T=JS&amp;NEWS=n&amp;CSC=Y&amp;PAGE=booktext&amp;D=books&amp;AN=01279751$&amp;XPATH=/PG(0)&amp;EPUB=Y","http://ovidsp.ovid.com/ovidweb.cgi?T=JS&amp;NEWS=n&amp;CSC=Y&amp;PAGE=booktext&amp;D=books&amp;AN=01279751$&amp;XPATH=/PG(0)&amp;EPUB=Y")</f>
        <v>http://ovidsp.ovid.com/ovidweb.cgi?T=JS&amp;NEWS=n&amp;CSC=Y&amp;PAGE=booktext&amp;D=books&amp;AN=01279751$&amp;XPATH=/PG(0)&amp;EPUB=Y</v>
      </c>
      <c r="G682" t="s">
        <v>2139</v>
      </c>
      <c r="H682" t="s">
        <v>2974</v>
      </c>
      <c r="I682">
        <v>1206726</v>
      </c>
      <c r="J682" t="s">
        <v>3263</v>
      </c>
      <c r="K682" t="s">
        <v>1858</v>
      </c>
    </row>
    <row r="683" spans="1:11" x14ac:dyDescent="0.3">
      <c r="A683" t="s">
        <v>1454</v>
      </c>
      <c r="B683" t="s">
        <v>2013</v>
      </c>
      <c r="C683" t="s">
        <v>4306</v>
      </c>
      <c r="D683" t="s">
        <v>4111</v>
      </c>
      <c r="E683" t="s">
        <v>404</v>
      </c>
      <c r="F683" s="1" t="str">
        <f>HYPERLINK("http://ovidsp.ovid.com/ovidweb.cgi?T=JS&amp;NEWS=n&amp;CSC=Y&amp;PAGE=booktext&amp;D=books&amp;AN=01257025$&amp;XPATH=/PG(0)&amp;EPUB=Y","http://ovidsp.ovid.com/ovidweb.cgi?T=JS&amp;NEWS=n&amp;CSC=Y&amp;PAGE=booktext&amp;D=books&amp;AN=01257025$&amp;XPATH=/PG(0)&amp;EPUB=Y")</f>
        <v>http://ovidsp.ovid.com/ovidweb.cgi?T=JS&amp;NEWS=n&amp;CSC=Y&amp;PAGE=booktext&amp;D=books&amp;AN=01257025$&amp;XPATH=/PG(0)&amp;EPUB=Y</v>
      </c>
      <c r="G683" t="s">
        <v>2139</v>
      </c>
      <c r="H683" t="s">
        <v>2974</v>
      </c>
      <c r="I683">
        <v>1206726</v>
      </c>
      <c r="J683" t="s">
        <v>3263</v>
      </c>
      <c r="K683" t="s">
        <v>718</v>
      </c>
    </row>
    <row r="684" spans="1:11" x14ac:dyDescent="0.3">
      <c r="A684" t="s">
        <v>1140</v>
      </c>
      <c r="B684" t="s">
        <v>2115</v>
      </c>
      <c r="C684" t="s">
        <v>2092</v>
      </c>
      <c r="D684" t="s">
        <v>4111</v>
      </c>
      <c r="E684" t="s">
        <v>1104</v>
      </c>
      <c r="F684" s="1" t="str">
        <f>HYPERLINK("http://ovidsp.ovid.com/ovidweb.cgi?T=JS&amp;NEWS=n&amp;CSC=Y&amp;PAGE=booktext&amp;D=books&amp;AN=01337296$&amp;XPATH=/PG(0)&amp;EPUB=Y","http://ovidsp.ovid.com/ovidweb.cgi?T=JS&amp;NEWS=n&amp;CSC=Y&amp;PAGE=booktext&amp;D=books&amp;AN=01337296$&amp;XPATH=/PG(0)&amp;EPUB=Y")</f>
        <v>http://ovidsp.ovid.com/ovidweb.cgi?T=JS&amp;NEWS=n&amp;CSC=Y&amp;PAGE=booktext&amp;D=books&amp;AN=01337296$&amp;XPATH=/PG(0)&amp;EPUB=Y</v>
      </c>
      <c r="G684" t="s">
        <v>2139</v>
      </c>
      <c r="H684" t="s">
        <v>2974</v>
      </c>
      <c r="I684">
        <v>1206726</v>
      </c>
      <c r="J684" t="s">
        <v>3263</v>
      </c>
      <c r="K684" t="s">
        <v>4601</v>
      </c>
    </row>
    <row r="685" spans="1:11" x14ac:dyDescent="0.3">
      <c r="A685" t="s">
        <v>1416</v>
      </c>
      <c r="B685" t="s">
        <v>314</v>
      </c>
      <c r="C685" t="s">
        <v>4620</v>
      </c>
      <c r="D685" t="s">
        <v>4111</v>
      </c>
      <c r="E685" t="s">
        <v>2876</v>
      </c>
      <c r="F685" s="1" t="str">
        <f>HYPERLINK("http://ovidsp.ovid.com/ovidweb.cgi?T=JS&amp;NEWS=n&amp;CSC=Y&amp;PAGE=booktext&amp;D=books&amp;AN=01273051$&amp;XPATH=/PG(0)&amp;EPUB=Y","http://ovidsp.ovid.com/ovidweb.cgi?T=JS&amp;NEWS=n&amp;CSC=Y&amp;PAGE=booktext&amp;D=books&amp;AN=01273051$&amp;XPATH=/PG(0)&amp;EPUB=Y")</f>
        <v>http://ovidsp.ovid.com/ovidweb.cgi?T=JS&amp;NEWS=n&amp;CSC=Y&amp;PAGE=booktext&amp;D=books&amp;AN=01273051$&amp;XPATH=/PG(0)&amp;EPUB=Y</v>
      </c>
      <c r="G685" t="s">
        <v>2139</v>
      </c>
      <c r="H685" t="s">
        <v>2974</v>
      </c>
      <c r="I685">
        <v>1206726</v>
      </c>
      <c r="J685" t="s">
        <v>3263</v>
      </c>
      <c r="K685" t="s">
        <v>3385</v>
      </c>
    </row>
    <row r="686" spans="1:11" x14ac:dyDescent="0.3">
      <c r="A686" t="s">
        <v>3712</v>
      </c>
      <c r="B686" t="s">
        <v>3090</v>
      </c>
      <c r="C686" t="s">
        <v>2571</v>
      </c>
      <c r="D686" t="s">
        <v>4111</v>
      </c>
      <c r="E686" t="s">
        <v>2223</v>
      </c>
      <c r="F686" s="1" t="str">
        <f>HYPERLINK("http://ovidsp.ovid.com/ovidweb.cgi?T=JS&amp;NEWS=n&amp;CSC=Y&amp;PAGE=booktext&amp;D=books&amp;AN=01382590$&amp;XPATH=/PG(0)&amp;EPUB=Y","http://ovidsp.ovid.com/ovidweb.cgi?T=JS&amp;NEWS=n&amp;CSC=Y&amp;PAGE=booktext&amp;D=books&amp;AN=01382590$&amp;XPATH=/PG(0)&amp;EPUB=Y")</f>
        <v>http://ovidsp.ovid.com/ovidweb.cgi?T=JS&amp;NEWS=n&amp;CSC=Y&amp;PAGE=booktext&amp;D=books&amp;AN=01382590$&amp;XPATH=/PG(0)&amp;EPUB=Y</v>
      </c>
      <c r="G686" t="s">
        <v>2139</v>
      </c>
      <c r="H686" t="s">
        <v>2974</v>
      </c>
      <c r="I686">
        <v>1206726</v>
      </c>
      <c r="J686" t="s">
        <v>3263</v>
      </c>
      <c r="K686" t="s">
        <v>4667</v>
      </c>
    </row>
    <row r="687" spans="1:11" x14ac:dyDescent="0.3">
      <c r="A687" t="s">
        <v>1440</v>
      </c>
      <c r="B687" t="s">
        <v>2810</v>
      </c>
      <c r="C687" t="s">
        <v>872</v>
      </c>
      <c r="D687" t="s">
        <v>4111</v>
      </c>
      <c r="E687" t="s">
        <v>3387</v>
      </c>
      <c r="F687" s="1" t="str">
        <f>HYPERLINK("http://ovidsp.ovid.com/ovidweb.cgi?T=JS&amp;NEWS=n&amp;CSC=Y&amp;PAGE=booktext&amp;D=books&amp;AN=01435378$&amp;XPATH=/PG(0)&amp;EPUB=Y","http://ovidsp.ovid.com/ovidweb.cgi?T=JS&amp;NEWS=n&amp;CSC=Y&amp;PAGE=booktext&amp;D=books&amp;AN=01435378$&amp;XPATH=/PG(0)&amp;EPUB=Y")</f>
        <v>http://ovidsp.ovid.com/ovidweb.cgi?T=JS&amp;NEWS=n&amp;CSC=Y&amp;PAGE=booktext&amp;D=books&amp;AN=01435378$&amp;XPATH=/PG(0)&amp;EPUB=Y</v>
      </c>
      <c r="G687" t="s">
        <v>2139</v>
      </c>
      <c r="H687" t="s">
        <v>2974</v>
      </c>
      <c r="I687">
        <v>1206726</v>
      </c>
      <c r="J687" t="s">
        <v>3263</v>
      </c>
      <c r="K687" t="s">
        <v>2898</v>
      </c>
    </row>
    <row r="688" spans="1:11" x14ac:dyDescent="0.3">
      <c r="A688" t="s">
        <v>3859</v>
      </c>
      <c r="B688" t="s">
        <v>3635</v>
      </c>
      <c r="C688" t="s">
        <v>3581</v>
      </c>
      <c r="D688" t="s">
        <v>4111</v>
      </c>
      <c r="E688" t="s">
        <v>404</v>
      </c>
      <c r="F688" s="1" t="str">
        <f>HYPERLINK("http://ovidsp.ovid.com/ovidweb.cgi?T=JS&amp;NEWS=n&amp;CSC=Y&amp;PAGE=booktext&amp;D=books&amp;AN=01382770$&amp;XPATH=/PG(0)&amp;EPUB=Y","http://ovidsp.ovid.com/ovidweb.cgi?T=JS&amp;NEWS=n&amp;CSC=Y&amp;PAGE=booktext&amp;D=books&amp;AN=01382770$&amp;XPATH=/PG(0)&amp;EPUB=Y")</f>
        <v>http://ovidsp.ovid.com/ovidweb.cgi?T=JS&amp;NEWS=n&amp;CSC=Y&amp;PAGE=booktext&amp;D=books&amp;AN=01382770$&amp;XPATH=/PG(0)&amp;EPUB=Y</v>
      </c>
      <c r="G688" t="s">
        <v>2139</v>
      </c>
      <c r="H688" t="s">
        <v>2974</v>
      </c>
      <c r="I688">
        <v>1206726</v>
      </c>
      <c r="J688" t="s">
        <v>3263</v>
      </c>
      <c r="K688" t="s">
        <v>166</v>
      </c>
    </row>
    <row r="689" spans="1:11" x14ac:dyDescent="0.3">
      <c r="A689" t="s">
        <v>1955</v>
      </c>
      <c r="B689" t="s">
        <v>4687</v>
      </c>
      <c r="C689" t="s">
        <v>2212</v>
      </c>
      <c r="D689" t="s">
        <v>4111</v>
      </c>
      <c r="E689" t="s">
        <v>2223</v>
      </c>
      <c r="F689" s="1" t="str">
        <f>HYPERLINK("http://ovidsp.ovid.com/ovidweb.cgi?T=JS&amp;NEWS=n&amp;CSC=Y&amp;PAGE=booktext&amp;D=books&amp;AN=01382724$&amp;XPATH=/PG(0)&amp;EPUB=Y","http://ovidsp.ovid.com/ovidweb.cgi?T=JS&amp;NEWS=n&amp;CSC=Y&amp;PAGE=booktext&amp;D=books&amp;AN=01382724$&amp;XPATH=/PG(0)&amp;EPUB=Y")</f>
        <v>http://ovidsp.ovid.com/ovidweb.cgi?T=JS&amp;NEWS=n&amp;CSC=Y&amp;PAGE=booktext&amp;D=books&amp;AN=01382724$&amp;XPATH=/PG(0)&amp;EPUB=Y</v>
      </c>
      <c r="G689" t="s">
        <v>2139</v>
      </c>
      <c r="H689" t="s">
        <v>2974</v>
      </c>
      <c r="I689">
        <v>1206726</v>
      </c>
      <c r="J689" t="s">
        <v>3263</v>
      </c>
      <c r="K689" t="s">
        <v>17</v>
      </c>
    </row>
    <row r="690" spans="1:11" x14ac:dyDescent="0.3">
      <c r="A690" t="s">
        <v>4082</v>
      </c>
      <c r="B690" t="s">
        <v>3990</v>
      </c>
      <c r="C690" t="s">
        <v>3303</v>
      </c>
      <c r="D690" t="s">
        <v>4111</v>
      </c>
      <c r="E690" t="s">
        <v>404</v>
      </c>
      <c r="F690" s="1" t="str">
        <f>HYPERLINK("http://ovidsp.ovid.com/ovidweb.cgi?T=JS&amp;NEWS=n&amp;CSC=Y&amp;PAGE=booktext&amp;D=books&amp;AN=01382752$&amp;XPATH=/PG(0)&amp;EPUB=Y","http://ovidsp.ovid.com/ovidweb.cgi?T=JS&amp;NEWS=n&amp;CSC=Y&amp;PAGE=booktext&amp;D=books&amp;AN=01382752$&amp;XPATH=/PG(0)&amp;EPUB=Y")</f>
        <v>http://ovidsp.ovid.com/ovidweb.cgi?T=JS&amp;NEWS=n&amp;CSC=Y&amp;PAGE=booktext&amp;D=books&amp;AN=01382752$&amp;XPATH=/PG(0)&amp;EPUB=Y</v>
      </c>
      <c r="G690" t="s">
        <v>2139</v>
      </c>
      <c r="H690" t="s">
        <v>2974</v>
      </c>
      <c r="I690">
        <v>1206726</v>
      </c>
      <c r="J690" t="s">
        <v>3263</v>
      </c>
      <c r="K690" t="s">
        <v>4169</v>
      </c>
    </row>
    <row r="691" spans="1:11" x14ac:dyDescent="0.3">
      <c r="A691" t="s">
        <v>4734</v>
      </c>
      <c r="B691" t="s">
        <v>134</v>
      </c>
      <c r="C691" t="s">
        <v>4154</v>
      </c>
      <c r="D691" t="s">
        <v>4111</v>
      </c>
      <c r="E691" t="s">
        <v>2223</v>
      </c>
      <c r="F691" s="1" t="str">
        <f>HYPERLINK("http://ovidsp.ovid.com/ovidweb.cgi?T=JS&amp;NEWS=n&amp;CSC=Y&amp;PAGE=booktext&amp;D=books&amp;AN=01382591$&amp;XPATH=/PG(0)&amp;EPUB=Y","http://ovidsp.ovid.com/ovidweb.cgi?T=JS&amp;NEWS=n&amp;CSC=Y&amp;PAGE=booktext&amp;D=books&amp;AN=01382591$&amp;XPATH=/PG(0)&amp;EPUB=Y")</f>
        <v>http://ovidsp.ovid.com/ovidweb.cgi?T=JS&amp;NEWS=n&amp;CSC=Y&amp;PAGE=booktext&amp;D=books&amp;AN=01382591$&amp;XPATH=/PG(0)&amp;EPUB=Y</v>
      </c>
      <c r="G691" t="s">
        <v>2139</v>
      </c>
      <c r="H691" t="s">
        <v>2974</v>
      </c>
      <c r="I691">
        <v>1206726</v>
      </c>
      <c r="J691" t="s">
        <v>3263</v>
      </c>
      <c r="K691" t="s">
        <v>2074</v>
      </c>
    </row>
    <row r="692" spans="1:11" x14ac:dyDescent="0.3">
      <c r="A692" t="s">
        <v>3037</v>
      </c>
      <c r="B692" t="s">
        <v>1424</v>
      </c>
      <c r="C692" t="s">
        <v>1135</v>
      </c>
      <c r="D692" t="s">
        <v>4111</v>
      </c>
      <c r="E692" t="s">
        <v>3051</v>
      </c>
      <c r="F692" s="1" t="str">
        <f>HYPERLINK("http://ovidsp.ovid.com/ovidweb.cgi?T=JS&amp;NEWS=n&amp;CSC=Y&amp;PAGE=booktext&amp;D=books&amp;AN=01279752$&amp;XPATH=/PG(0)&amp;EPUB=Y","http://ovidsp.ovid.com/ovidweb.cgi?T=JS&amp;NEWS=n&amp;CSC=Y&amp;PAGE=booktext&amp;D=books&amp;AN=01279752$&amp;XPATH=/PG(0)&amp;EPUB=Y")</f>
        <v>http://ovidsp.ovid.com/ovidweb.cgi?T=JS&amp;NEWS=n&amp;CSC=Y&amp;PAGE=booktext&amp;D=books&amp;AN=01279752$&amp;XPATH=/PG(0)&amp;EPUB=Y</v>
      </c>
      <c r="G692" t="s">
        <v>2139</v>
      </c>
      <c r="H692" t="s">
        <v>2974</v>
      </c>
      <c r="I692">
        <v>1206726</v>
      </c>
      <c r="J692" t="s">
        <v>3263</v>
      </c>
      <c r="K692" t="s">
        <v>2045</v>
      </c>
    </row>
    <row r="693" spans="1:11" x14ac:dyDescent="0.3">
      <c r="A693" t="s">
        <v>3037</v>
      </c>
      <c r="B693" t="s">
        <v>3695</v>
      </c>
      <c r="C693" t="s">
        <v>2067</v>
      </c>
      <c r="D693" t="s">
        <v>4111</v>
      </c>
      <c r="E693" t="s">
        <v>2876</v>
      </c>
      <c r="F693" s="1" t="str">
        <f>HYPERLINK("http://ovidsp.ovid.com/ovidweb.cgi?T=JS&amp;NEWS=n&amp;CSC=Y&amp;PAGE=booktext&amp;D=books&amp;AN=01438891$&amp;XPATH=/PG(0)&amp;EPUB=Y","http://ovidsp.ovid.com/ovidweb.cgi?T=JS&amp;NEWS=n&amp;CSC=Y&amp;PAGE=booktext&amp;D=books&amp;AN=01438891$&amp;XPATH=/PG(0)&amp;EPUB=Y")</f>
        <v>http://ovidsp.ovid.com/ovidweb.cgi?T=JS&amp;NEWS=n&amp;CSC=Y&amp;PAGE=booktext&amp;D=books&amp;AN=01438891$&amp;XPATH=/PG(0)&amp;EPUB=Y</v>
      </c>
      <c r="G693" t="s">
        <v>2139</v>
      </c>
      <c r="H693" t="s">
        <v>2974</v>
      </c>
      <c r="I693">
        <v>1206726</v>
      </c>
      <c r="J693" t="s">
        <v>3263</v>
      </c>
      <c r="K693" t="s">
        <v>516</v>
      </c>
    </row>
    <row r="694" spans="1:11" x14ac:dyDescent="0.3">
      <c r="A694" t="s">
        <v>392</v>
      </c>
      <c r="B694" t="s">
        <v>3160</v>
      </c>
      <c r="C694" t="s">
        <v>2225</v>
      </c>
      <c r="D694" t="s">
        <v>4111</v>
      </c>
      <c r="E694" t="s">
        <v>2223</v>
      </c>
      <c r="F694" s="1" t="str">
        <f>HYPERLINK("http://ovidsp.ovid.com/ovidweb.cgi?T=JS&amp;NEWS=n&amp;CSC=Y&amp;PAGE=booktext&amp;D=books&amp;AN=01434793$&amp;XPATH=/PG(0)&amp;EPUB=Y","http://ovidsp.ovid.com/ovidweb.cgi?T=JS&amp;NEWS=n&amp;CSC=Y&amp;PAGE=booktext&amp;D=books&amp;AN=01434793$&amp;XPATH=/PG(0)&amp;EPUB=Y")</f>
        <v>http://ovidsp.ovid.com/ovidweb.cgi?T=JS&amp;NEWS=n&amp;CSC=Y&amp;PAGE=booktext&amp;D=books&amp;AN=01434793$&amp;XPATH=/PG(0)&amp;EPUB=Y</v>
      </c>
      <c r="G694" t="s">
        <v>2139</v>
      </c>
      <c r="H694" t="s">
        <v>2974</v>
      </c>
      <c r="I694">
        <v>1206726</v>
      </c>
      <c r="J694" t="s">
        <v>3263</v>
      </c>
      <c r="K694" t="s">
        <v>371</v>
      </c>
    </row>
    <row r="695" spans="1:11" x14ac:dyDescent="0.3">
      <c r="A695" t="s">
        <v>750</v>
      </c>
      <c r="B695" t="s">
        <v>3664</v>
      </c>
      <c r="C695" t="s">
        <v>109</v>
      </c>
      <c r="D695" t="s">
        <v>4111</v>
      </c>
      <c r="E695" t="s">
        <v>2223</v>
      </c>
      <c r="F695" s="1" t="str">
        <f>HYPERLINK("http://ovidsp.ovid.com/ovidweb.cgi?T=JS&amp;NEWS=n&amp;CSC=Y&amp;PAGE=booktext&amp;D=books&amp;AN=01382595$&amp;XPATH=/PG(0)&amp;EPUB=Y","http://ovidsp.ovid.com/ovidweb.cgi?T=JS&amp;NEWS=n&amp;CSC=Y&amp;PAGE=booktext&amp;D=books&amp;AN=01382595$&amp;XPATH=/PG(0)&amp;EPUB=Y")</f>
        <v>http://ovidsp.ovid.com/ovidweb.cgi?T=JS&amp;NEWS=n&amp;CSC=Y&amp;PAGE=booktext&amp;D=books&amp;AN=01382595$&amp;XPATH=/PG(0)&amp;EPUB=Y</v>
      </c>
      <c r="G695" t="s">
        <v>2139</v>
      </c>
      <c r="H695" t="s">
        <v>2974</v>
      </c>
      <c r="I695">
        <v>1206726</v>
      </c>
      <c r="J695" t="s">
        <v>3263</v>
      </c>
      <c r="K695" t="s">
        <v>2374</v>
      </c>
    </row>
    <row r="696" spans="1:11" x14ac:dyDescent="0.3">
      <c r="A696" t="s">
        <v>1671</v>
      </c>
      <c r="B696" t="s">
        <v>3330</v>
      </c>
      <c r="C696" t="s">
        <v>2630</v>
      </c>
      <c r="D696" t="s">
        <v>4111</v>
      </c>
      <c r="E696" t="s">
        <v>2223</v>
      </c>
      <c r="F696" s="1" t="str">
        <f>HYPERLINK("http://ovidsp.ovid.com/ovidweb.cgi?T=JS&amp;NEWS=n&amp;CSC=Y&amp;PAGE=booktext&amp;D=books&amp;AN=01382596$&amp;XPATH=/PG(0)&amp;EPUB=Y","http://ovidsp.ovid.com/ovidweb.cgi?T=JS&amp;NEWS=n&amp;CSC=Y&amp;PAGE=booktext&amp;D=books&amp;AN=01382596$&amp;XPATH=/PG(0)&amp;EPUB=Y")</f>
        <v>http://ovidsp.ovid.com/ovidweb.cgi?T=JS&amp;NEWS=n&amp;CSC=Y&amp;PAGE=booktext&amp;D=books&amp;AN=01382596$&amp;XPATH=/PG(0)&amp;EPUB=Y</v>
      </c>
      <c r="G696" t="s">
        <v>2139</v>
      </c>
      <c r="H696" t="s">
        <v>2974</v>
      </c>
      <c r="I696">
        <v>1206726</v>
      </c>
      <c r="J696" t="s">
        <v>3263</v>
      </c>
      <c r="K696" t="s">
        <v>4139</v>
      </c>
    </row>
    <row r="697" spans="1:11" x14ac:dyDescent="0.3">
      <c r="A697" t="s">
        <v>3933</v>
      </c>
      <c r="B697" t="s">
        <v>3994</v>
      </c>
      <c r="C697" t="s">
        <v>2334</v>
      </c>
      <c r="D697" t="s">
        <v>4111</v>
      </c>
      <c r="E697" t="s">
        <v>2223</v>
      </c>
      <c r="F697" s="1" t="str">
        <f>HYPERLINK("http://ovidsp.ovid.com/ovidweb.cgi?T=JS&amp;NEWS=n&amp;CSC=Y&amp;PAGE=booktext&amp;D=books&amp;AN=01241478$&amp;XPATH=/PG(0)&amp;EPUB=Y","http://ovidsp.ovid.com/ovidweb.cgi?T=JS&amp;NEWS=n&amp;CSC=Y&amp;PAGE=booktext&amp;D=books&amp;AN=01241478$&amp;XPATH=/PG(0)&amp;EPUB=Y")</f>
        <v>http://ovidsp.ovid.com/ovidweb.cgi?T=JS&amp;NEWS=n&amp;CSC=Y&amp;PAGE=booktext&amp;D=books&amp;AN=01241478$&amp;XPATH=/PG(0)&amp;EPUB=Y</v>
      </c>
      <c r="G697" t="s">
        <v>2139</v>
      </c>
      <c r="H697" t="s">
        <v>2974</v>
      </c>
      <c r="I697">
        <v>1206726</v>
      </c>
      <c r="J697" t="s">
        <v>3263</v>
      </c>
      <c r="K697" t="s">
        <v>1987</v>
      </c>
    </row>
    <row r="698" spans="1:11" x14ac:dyDescent="0.3">
      <c r="A698" t="s">
        <v>2540</v>
      </c>
      <c r="B698" t="s">
        <v>4378</v>
      </c>
      <c r="C698" t="s">
        <v>3344</v>
      </c>
      <c r="D698" t="s">
        <v>4111</v>
      </c>
      <c r="E698" t="s">
        <v>1104</v>
      </c>
      <c r="F698" s="1" t="str">
        <f>HYPERLINK("http://ovidsp.ovid.com/ovidweb.cgi?T=JS&amp;NEWS=n&amp;CSC=Y&amp;PAGE=booktext&amp;D=books&amp;AN=01382719$&amp;XPATH=/PG(0)&amp;EPUB=Y","http://ovidsp.ovid.com/ovidweb.cgi?T=JS&amp;NEWS=n&amp;CSC=Y&amp;PAGE=booktext&amp;D=books&amp;AN=01382719$&amp;XPATH=/PG(0)&amp;EPUB=Y")</f>
        <v>http://ovidsp.ovid.com/ovidweb.cgi?T=JS&amp;NEWS=n&amp;CSC=Y&amp;PAGE=booktext&amp;D=books&amp;AN=01382719$&amp;XPATH=/PG(0)&amp;EPUB=Y</v>
      </c>
      <c r="G698" t="s">
        <v>2139</v>
      </c>
      <c r="H698" t="s">
        <v>2974</v>
      </c>
      <c r="I698">
        <v>1206726</v>
      </c>
      <c r="J698" t="s">
        <v>3263</v>
      </c>
      <c r="K698" t="s">
        <v>2034</v>
      </c>
    </row>
    <row r="699" spans="1:11" x14ac:dyDescent="0.3">
      <c r="A699" t="s">
        <v>2285</v>
      </c>
      <c r="B699" t="s">
        <v>825</v>
      </c>
      <c r="C699" t="s">
        <v>2534</v>
      </c>
      <c r="D699" t="s">
        <v>4111</v>
      </c>
      <c r="E699" t="s">
        <v>2223</v>
      </c>
      <c r="F699" s="1" t="str">
        <f>HYPERLINK("http://ovidsp.ovid.com/ovidweb.cgi?T=JS&amp;NEWS=n&amp;CSC=Y&amp;PAGE=booktext&amp;D=books&amp;AN=01382771$&amp;XPATH=/PG(0)&amp;EPUB=Y","http://ovidsp.ovid.com/ovidweb.cgi?T=JS&amp;NEWS=n&amp;CSC=Y&amp;PAGE=booktext&amp;D=books&amp;AN=01382771$&amp;XPATH=/PG(0)&amp;EPUB=Y")</f>
        <v>http://ovidsp.ovid.com/ovidweb.cgi?T=JS&amp;NEWS=n&amp;CSC=Y&amp;PAGE=booktext&amp;D=books&amp;AN=01382771$&amp;XPATH=/PG(0)&amp;EPUB=Y</v>
      </c>
      <c r="G699" t="s">
        <v>2139</v>
      </c>
      <c r="H699" t="s">
        <v>2974</v>
      </c>
      <c r="I699">
        <v>1206726</v>
      </c>
      <c r="J699" t="s">
        <v>3263</v>
      </c>
      <c r="K699" t="s">
        <v>3920</v>
      </c>
    </row>
    <row r="700" spans="1:11" x14ac:dyDescent="0.3">
      <c r="A700" t="s">
        <v>843</v>
      </c>
      <c r="B700" t="s">
        <v>1923</v>
      </c>
      <c r="C700" t="s">
        <v>592</v>
      </c>
      <c r="D700" t="s">
        <v>4111</v>
      </c>
      <c r="E700" t="s">
        <v>1104</v>
      </c>
      <c r="F700" s="1" t="str">
        <f>HYPERLINK("http://ovidsp.ovid.com/ovidweb.cgi?T=JS&amp;NEWS=n&amp;CSC=Y&amp;PAGE=booktext&amp;D=books&amp;AN=01382720$&amp;XPATH=/PG(0)&amp;EPUB=Y","http://ovidsp.ovid.com/ovidweb.cgi?T=JS&amp;NEWS=n&amp;CSC=Y&amp;PAGE=booktext&amp;D=books&amp;AN=01382720$&amp;XPATH=/PG(0)&amp;EPUB=Y")</f>
        <v>http://ovidsp.ovid.com/ovidweb.cgi?T=JS&amp;NEWS=n&amp;CSC=Y&amp;PAGE=booktext&amp;D=books&amp;AN=01382720$&amp;XPATH=/PG(0)&amp;EPUB=Y</v>
      </c>
      <c r="G700" t="s">
        <v>2139</v>
      </c>
      <c r="H700" t="s">
        <v>2974</v>
      </c>
      <c r="I700">
        <v>1206726</v>
      </c>
      <c r="J700" t="s">
        <v>3263</v>
      </c>
      <c r="K700" t="s">
        <v>2911</v>
      </c>
    </row>
    <row r="701" spans="1:11" x14ac:dyDescent="0.3">
      <c r="A701" t="s">
        <v>1889</v>
      </c>
      <c r="B701" t="s">
        <v>3396</v>
      </c>
      <c r="C701" t="s">
        <v>4608</v>
      </c>
      <c r="D701" t="s">
        <v>4111</v>
      </c>
      <c r="E701" t="s">
        <v>3051</v>
      </c>
      <c r="F701" s="1" t="str">
        <f>HYPERLINK("http://ovidsp.ovid.com/ovidweb.cgi?T=JS&amp;NEWS=n&amp;CSC=Y&amp;PAGE=booktext&amp;D=books&amp;AN=01382889$&amp;XPATH=/PG(0)&amp;EPUB=Y","http://ovidsp.ovid.com/ovidweb.cgi?T=JS&amp;NEWS=n&amp;CSC=Y&amp;PAGE=booktext&amp;D=books&amp;AN=01382889$&amp;XPATH=/PG(0)&amp;EPUB=Y")</f>
        <v>http://ovidsp.ovid.com/ovidweb.cgi?T=JS&amp;NEWS=n&amp;CSC=Y&amp;PAGE=booktext&amp;D=books&amp;AN=01382889$&amp;XPATH=/PG(0)&amp;EPUB=Y</v>
      </c>
      <c r="G701" t="s">
        <v>2139</v>
      </c>
      <c r="H701" t="s">
        <v>2974</v>
      </c>
      <c r="I701">
        <v>1206726</v>
      </c>
      <c r="J701" t="s">
        <v>3263</v>
      </c>
      <c r="K701" t="s">
        <v>1507</v>
      </c>
    </row>
    <row r="702" spans="1:11" x14ac:dyDescent="0.3">
      <c r="A702" t="s">
        <v>2857</v>
      </c>
      <c r="B702" t="s">
        <v>2759</v>
      </c>
      <c r="C702" t="s">
        <v>3546</v>
      </c>
      <c r="D702" t="s">
        <v>4111</v>
      </c>
      <c r="E702" t="s">
        <v>3051</v>
      </c>
      <c r="F702" s="1" t="str">
        <f>HYPERLINK("http://ovidsp.ovid.com/ovidweb.cgi?T=JS&amp;NEWS=n&amp;CSC=Y&amp;PAGE=booktext&amp;D=books&amp;AN=01382877$&amp;XPATH=/PG(0)&amp;EPUB=Y","http://ovidsp.ovid.com/ovidweb.cgi?T=JS&amp;NEWS=n&amp;CSC=Y&amp;PAGE=booktext&amp;D=books&amp;AN=01382877$&amp;XPATH=/PG(0)&amp;EPUB=Y")</f>
        <v>http://ovidsp.ovid.com/ovidweb.cgi?T=JS&amp;NEWS=n&amp;CSC=Y&amp;PAGE=booktext&amp;D=books&amp;AN=01382877$&amp;XPATH=/PG(0)&amp;EPUB=Y</v>
      </c>
      <c r="G702" t="s">
        <v>2139</v>
      </c>
      <c r="H702" t="s">
        <v>2974</v>
      </c>
      <c r="I702">
        <v>1206726</v>
      </c>
      <c r="J702" t="s">
        <v>3263</v>
      </c>
      <c r="K702" t="s">
        <v>3819</v>
      </c>
    </row>
    <row r="703" spans="1:11" x14ac:dyDescent="0.3">
      <c r="A703" t="s">
        <v>4675</v>
      </c>
      <c r="B703" t="s">
        <v>1063</v>
      </c>
      <c r="C703" t="s">
        <v>1761</v>
      </c>
      <c r="D703" t="s">
        <v>4111</v>
      </c>
      <c r="E703" t="s">
        <v>404</v>
      </c>
      <c r="F703" s="1" t="str">
        <f>HYPERLINK("http://ovidsp.ovid.com/ovidweb.cgi?T=JS&amp;NEWS=n&amp;CSC=Y&amp;PAGE=booktext&amp;D=books&amp;AN=01376501$&amp;XPATH=/PG(0)&amp;EPUB=Y","http://ovidsp.ovid.com/ovidweb.cgi?T=JS&amp;NEWS=n&amp;CSC=Y&amp;PAGE=booktext&amp;D=books&amp;AN=01376501$&amp;XPATH=/PG(0)&amp;EPUB=Y")</f>
        <v>http://ovidsp.ovid.com/ovidweb.cgi?T=JS&amp;NEWS=n&amp;CSC=Y&amp;PAGE=booktext&amp;D=books&amp;AN=01376501$&amp;XPATH=/PG(0)&amp;EPUB=Y</v>
      </c>
      <c r="G703" t="s">
        <v>2139</v>
      </c>
      <c r="H703" t="s">
        <v>2974</v>
      </c>
      <c r="I703">
        <v>1206726</v>
      </c>
      <c r="J703" t="s">
        <v>3263</v>
      </c>
      <c r="K703" t="s">
        <v>3379</v>
      </c>
    </row>
    <row r="704" spans="1:11" x14ac:dyDescent="0.3">
      <c r="A704" t="s">
        <v>191</v>
      </c>
      <c r="B704" t="s">
        <v>1870</v>
      </c>
      <c r="C704" t="s">
        <v>2861</v>
      </c>
      <c r="D704" t="s">
        <v>4111</v>
      </c>
      <c r="E704" t="s">
        <v>2223</v>
      </c>
      <c r="F704" s="1" t="str">
        <f>HYPERLINK("http://ovidsp.ovid.com/ovidweb.cgi?T=JS&amp;NEWS=n&amp;CSC=Y&amp;PAGE=booktext&amp;D=books&amp;AN=01382499$&amp;XPATH=/PG(0)&amp;EPUB=Y","http://ovidsp.ovid.com/ovidweb.cgi?T=JS&amp;NEWS=n&amp;CSC=Y&amp;PAGE=booktext&amp;D=books&amp;AN=01382499$&amp;XPATH=/PG(0)&amp;EPUB=Y")</f>
        <v>http://ovidsp.ovid.com/ovidweb.cgi?T=JS&amp;NEWS=n&amp;CSC=Y&amp;PAGE=booktext&amp;D=books&amp;AN=01382499$&amp;XPATH=/PG(0)&amp;EPUB=Y</v>
      </c>
      <c r="G704" t="s">
        <v>2139</v>
      </c>
      <c r="H704" t="s">
        <v>2974</v>
      </c>
      <c r="I704">
        <v>1206726</v>
      </c>
      <c r="J704" t="s">
        <v>3263</v>
      </c>
      <c r="K704" t="s">
        <v>186</v>
      </c>
    </row>
    <row r="705" spans="1:11" x14ac:dyDescent="0.3">
      <c r="A705" t="s">
        <v>2743</v>
      </c>
      <c r="B705" t="s">
        <v>3735</v>
      </c>
      <c r="C705" t="s">
        <v>1738</v>
      </c>
      <c r="D705" t="s">
        <v>4111</v>
      </c>
      <c r="E705" t="s">
        <v>3051</v>
      </c>
      <c r="F705" s="1" t="str">
        <f>HYPERLINK("http://ovidsp.ovid.com/ovidweb.cgi?T=JS&amp;NEWS=n&amp;CSC=Y&amp;PAGE=booktext&amp;D=books&amp;AN=01382858$&amp;XPATH=/PG(0)&amp;EPUB=Y","http://ovidsp.ovid.com/ovidweb.cgi?T=JS&amp;NEWS=n&amp;CSC=Y&amp;PAGE=booktext&amp;D=books&amp;AN=01382858$&amp;XPATH=/PG(0)&amp;EPUB=Y")</f>
        <v>http://ovidsp.ovid.com/ovidweb.cgi?T=JS&amp;NEWS=n&amp;CSC=Y&amp;PAGE=booktext&amp;D=books&amp;AN=01382858$&amp;XPATH=/PG(0)&amp;EPUB=Y</v>
      </c>
      <c r="G705" t="s">
        <v>2139</v>
      </c>
      <c r="H705" t="s">
        <v>2974</v>
      </c>
      <c r="I705">
        <v>1206726</v>
      </c>
      <c r="J705" t="s">
        <v>3263</v>
      </c>
      <c r="K705" t="s">
        <v>1815</v>
      </c>
    </row>
    <row r="706" spans="1:11" x14ac:dyDescent="0.3">
      <c r="A706" t="s">
        <v>4256</v>
      </c>
      <c r="B706" t="s">
        <v>1185</v>
      </c>
      <c r="C706" t="s">
        <v>3405</v>
      </c>
      <c r="D706" t="s">
        <v>4111</v>
      </c>
      <c r="E706" t="s">
        <v>3322</v>
      </c>
      <c r="F706" s="1" t="str">
        <f>HYPERLINK("http://ovidsp.ovid.com/ovidweb.cgi?T=JS&amp;NEWS=n&amp;CSC=Y&amp;PAGE=booktext&amp;D=books&amp;AN=01412541$&amp;XPATH=/PG(0)&amp;EPUB=Y","http://ovidsp.ovid.com/ovidweb.cgi?T=JS&amp;NEWS=n&amp;CSC=Y&amp;PAGE=booktext&amp;D=books&amp;AN=01412541$&amp;XPATH=/PG(0)&amp;EPUB=Y")</f>
        <v>http://ovidsp.ovid.com/ovidweb.cgi?T=JS&amp;NEWS=n&amp;CSC=Y&amp;PAGE=booktext&amp;D=books&amp;AN=01412541$&amp;XPATH=/PG(0)&amp;EPUB=Y</v>
      </c>
      <c r="G706" t="s">
        <v>2139</v>
      </c>
      <c r="H706" t="s">
        <v>2974</v>
      </c>
      <c r="I706">
        <v>1206726</v>
      </c>
      <c r="J706" t="s">
        <v>3263</v>
      </c>
      <c r="K706" t="s">
        <v>2093</v>
      </c>
    </row>
    <row r="707" spans="1:11" x14ac:dyDescent="0.3">
      <c r="A707" t="s">
        <v>735</v>
      </c>
      <c r="B707" t="s">
        <v>4354</v>
      </c>
      <c r="C707" t="s">
        <v>1391</v>
      </c>
      <c r="D707" t="s">
        <v>4111</v>
      </c>
      <c r="E707" t="s">
        <v>404</v>
      </c>
      <c r="F707" s="1" t="str">
        <f>HYPERLINK("http://ovidsp.ovid.com/ovidweb.cgi?T=JS&amp;NEWS=n&amp;CSC=Y&amp;PAGE=booktext&amp;D=books&amp;AN=01257026$&amp;XPATH=/PG(0)&amp;EPUB=Y","http://ovidsp.ovid.com/ovidweb.cgi?T=JS&amp;NEWS=n&amp;CSC=Y&amp;PAGE=booktext&amp;D=books&amp;AN=01257026$&amp;XPATH=/PG(0)&amp;EPUB=Y")</f>
        <v>http://ovidsp.ovid.com/ovidweb.cgi?T=JS&amp;NEWS=n&amp;CSC=Y&amp;PAGE=booktext&amp;D=books&amp;AN=01257026$&amp;XPATH=/PG(0)&amp;EPUB=Y</v>
      </c>
      <c r="G707" t="s">
        <v>2139</v>
      </c>
      <c r="H707" t="s">
        <v>2974</v>
      </c>
      <c r="I707">
        <v>1206726</v>
      </c>
      <c r="J707" t="s">
        <v>3263</v>
      </c>
      <c r="K707" t="s">
        <v>1849</v>
      </c>
    </row>
    <row r="708" spans="1:11" x14ac:dyDescent="0.3">
      <c r="A708" t="s">
        <v>3697</v>
      </c>
      <c r="B708" t="s">
        <v>3760</v>
      </c>
      <c r="C708" t="s">
        <v>2582</v>
      </c>
      <c r="D708" t="s">
        <v>4111</v>
      </c>
      <c r="E708" t="s">
        <v>2223</v>
      </c>
      <c r="F708" s="1" t="str">
        <f>HYPERLINK("http://ovidsp.ovid.com/ovidweb.cgi?T=JS&amp;NEWS=n&amp;CSC=Y&amp;PAGE=booktext&amp;D=books&amp;AN=01382486$&amp;XPATH=/PG(0)&amp;EPUB=Y","http://ovidsp.ovid.com/ovidweb.cgi?T=JS&amp;NEWS=n&amp;CSC=Y&amp;PAGE=booktext&amp;D=books&amp;AN=01382486$&amp;XPATH=/PG(0)&amp;EPUB=Y")</f>
        <v>http://ovidsp.ovid.com/ovidweb.cgi?T=JS&amp;NEWS=n&amp;CSC=Y&amp;PAGE=booktext&amp;D=books&amp;AN=01382486$&amp;XPATH=/PG(0)&amp;EPUB=Y</v>
      </c>
      <c r="G708" t="s">
        <v>2139</v>
      </c>
      <c r="H708" t="s">
        <v>2974</v>
      </c>
      <c r="I708">
        <v>1206726</v>
      </c>
      <c r="J708" t="s">
        <v>3263</v>
      </c>
      <c r="K708" t="s">
        <v>1409</v>
      </c>
    </row>
    <row r="709" spans="1:11" x14ac:dyDescent="0.3">
      <c r="A709" t="s">
        <v>1752</v>
      </c>
      <c r="B709" t="s">
        <v>4515</v>
      </c>
      <c r="C709" t="s">
        <v>2990</v>
      </c>
      <c r="D709" t="s">
        <v>4111</v>
      </c>
      <c r="E709" t="s">
        <v>1104</v>
      </c>
      <c r="F709" s="1" t="str">
        <f>HYPERLINK("http://ovidsp.ovid.com/ovidweb.cgi?T=JS&amp;NEWS=n&amp;CSC=Y&amp;PAGE=booktext&amp;D=books&amp;AN=01439417$&amp;XPATH=/PG(0)&amp;EPUB=Y","http://ovidsp.ovid.com/ovidweb.cgi?T=JS&amp;NEWS=n&amp;CSC=Y&amp;PAGE=booktext&amp;D=books&amp;AN=01439417$&amp;XPATH=/PG(0)&amp;EPUB=Y")</f>
        <v>http://ovidsp.ovid.com/ovidweb.cgi?T=JS&amp;NEWS=n&amp;CSC=Y&amp;PAGE=booktext&amp;D=books&amp;AN=01439417$&amp;XPATH=/PG(0)&amp;EPUB=Y</v>
      </c>
      <c r="G709" t="s">
        <v>2139</v>
      </c>
      <c r="H709" t="s">
        <v>2974</v>
      </c>
      <c r="I709">
        <v>1206726</v>
      </c>
      <c r="J709" t="s">
        <v>3263</v>
      </c>
      <c r="K709" t="s">
        <v>4434</v>
      </c>
    </row>
    <row r="710" spans="1:11" x14ac:dyDescent="0.3">
      <c r="A710" t="s">
        <v>4613</v>
      </c>
      <c r="B710" t="s">
        <v>2107</v>
      </c>
      <c r="C710" t="s">
        <v>1313</v>
      </c>
      <c r="D710" t="s">
        <v>4111</v>
      </c>
      <c r="E710" t="s">
        <v>1104</v>
      </c>
      <c r="F710" s="1" t="str">
        <f>HYPERLINK("http://ovidsp.ovid.com/ovidweb.cgi?T=JS&amp;NEWS=n&amp;CSC=Y&amp;PAGE=booktext&amp;D=books&amp;AN=01337562$&amp;XPATH=/PG(0)&amp;EPUB=Y","http://ovidsp.ovid.com/ovidweb.cgi?T=JS&amp;NEWS=n&amp;CSC=Y&amp;PAGE=booktext&amp;D=books&amp;AN=01337562$&amp;XPATH=/PG(0)&amp;EPUB=Y")</f>
        <v>http://ovidsp.ovid.com/ovidweb.cgi?T=JS&amp;NEWS=n&amp;CSC=Y&amp;PAGE=booktext&amp;D=books&amp;AN=01337562$&amp;XPATH=/PG(0)&amp;EPUB=Y</v>
      </c>
      <c r="G710" t="s">
        <v>2139</v>
      </c>
      <c r="H710" t="s">
        <v>2974</v>
      </c>
      <c r="I710">
        <v>1206726</v>
      </c>
      <c r="J710" t="s">
        <v>3263</v>
      </c>
      <c r="K710" t="s">
        <v>744</v>
      </c>
    </row>
    <row r="711" spans="1:11" x14ac:dyDescent="0.3">
      <c r="A711" t="s">
        <v>985</v>
      </c>
      <c r="B711" t="s">
        <v>868</v>
      </c>
      <c r="C711" t="s">
        <v>4023</v>
      </c>
      <c r="D711" t="s">
        <v>4111</v>
      </c>
      <c r="E711" t="s">
        <v>3051</v>
      </c>
      <c r="F711" s="1" t="str">
        <f>HYPERLINK("http://ovidsp.ovid.com/ovidweb.cgi?T=JS&amp;NEWS=n&amp;CSC=Y&amp;PAGE=booktext&amp;D=books&amp;AN=01256971$&amp;XPATH=/PG(0)&amp;EPUB=Y","http://ovidsp.ovid.com/ovidweb.cgi?T=JS&amp;NEWS=n&amp;CSC=Y&amp;PAGE=booktext&amp;D=books&amp;AN=01256971$&amp;XPATH=/PG(0)&amp;EPUB=Y")</f>
        <v>http://ovidsp.ovid.com/ovidweb.cgi?T=JS&amp;NEWS=n&amp;CSC=Y&amp;PAGE=booktext&amp;D=books&amp;AN=01256971$&amp;XPATH=/PG(0)&amp;EPUB=Y</v>
      </c>
      <c r="G711" t="s">
        <v>2139</v>
      </c>
      <c r="H711" t="s">
        <v>2974</v>
      </c>
      <c r="I711">
        <v>1206726</v>
      </c>
      <c r="J711" t="s">
        <v>3263</v>
      </c>
      <c r="K711" t="s">
        <v>103</v>
      </c>
    </row>
    <row r="712" spans="1:11" x14ac:dyDescent="0.3">
      <c r="A712" t="s">
        <v>1407</v>
      </c>
      <c r="B712" t="s">
        <v>3838</v>
      </c>
      <c r="C712" t="s">
        <v>848</v>
      </c>
      <c r="D712" t="s">
        <v>4111</v>
      </c>
      <c r="E712" t="s">
        <v>404</v>
      </c>
      <c r="F712" s="1" t="str">
        <f>HYPERLINK("http://ovidsp.ovid.com/ovidweb.cgi?T=JS&amp;NEWS=n&amp;CSC=Y&amp;PAGE=booktext&amp;D=books&amp;AN=01257027$&amp;XPATH=/PG(0)&amp;EPUB=Y","http://ovidsp.ovid.com/ovidweb.cgi?T=JS&amp;NEWS=n&amp;CSC=Y&amp;PAGE=booktext&amp;D=books&amp;AN=01257027$&amp;XPATH=/PG(0)&amp;EPUB=Y")</f>
        <v>http://ovidsp.ovid.com/ovidweb.cgi?T=JS&amp;NEWS=n&amp;CSC=Y&amp;PAGE=booktext&amp;D=books&amp;AN=01257027$&amp;XPATH=/PG(0)&amp;EPUB=Y</v>
      </c>
      <c r="G712" t="s">
        <v>2139</v>
      </c>
      <c r="H712" t="s">
        <v>2974</v>
      </c>
      <c r="I712">
        <v>1206726</v>
      </c>
      <c r="J712" t="s">
        <v>3263</v>
      </c>
      <c r="K712" t="s">
        <v>453</v>
      </c>
    </row>
    <row r="713" spans="1:11" x14ac:dyDescent="0.3">
      <c r="A713" t="s">
        <v>4691</v>
      </c>
      <c r="B713" t="s">
        <v>3686</v>
      </c>
      <c r="C713" t="s">
        <v>1984</v>
      </c>
      <c r="D713" t="s">
        <v>4111</v>
      </c>
      <c r="E713" t="s">
        <v>2223</v>
      </c>
      <c r="F713" s="1" t="str">
        <f>HYPERLINK("http://ovidsp.ovid.com/ovidweb.cgi?T=JS&amp;NEWS=n&amp;CSC=Y&amp;PAGE=booktext&amp;D=books&amp;AN=01382601$&amp;XPATH=/PG(0)&amp;EPUB=Y","http://ovidsp.ovid.com/ovidweb.cgi?T=JS&amp;NEWS=n&amp;CSC=Y&amp;PAGE=booktext&amp;D=books&amp;AN=01382601$&amp;XPATH=/PG(0)&amp;EPUB=Y")</f>
        <v>http://ovidsp.ovid.com/ovidweb.cgi?T=JS&amp;NEWS=n&amp;CSC=Y&amp;PAGE=booktext&amp;D=books&amp;AN=01382601$&amp;XPATH=/PG(0)&amp;EPUB=Y</v>
      </c>
      <c r="G713" t="s">
        <v>2139</v>
      </c>
      <c r="H713" t="s">
        <v>2974</v>
      </c>
      <c r="I713">
        <v>1206726</v>
      </c>
      <c r="J713" t="s">
        <v>3263</v>
      </c>
      <c r="K713" t="s">
        <v>3959</v>
      </c>
    </row>
    <row r="714" spans="1:11" x14ac:dyDescent="0.3">
      <c r="A714" t="s">
        <v>4470</v>
      </c>
      <c r="B714" t="s">
        <v>4132</v>
      </c>
      <c r="C714" t="s">
        <v>1762</v>
      </c>
      <c r="D714" t="s">
        <v>4111</v>
      </c>
      <c r="E714" t="s">
        <v>404</v>
      </c>
      <c r="F714" s="1" t="str">
        <f>HYPERLINK("http://ovidsp.ovid.com/ovidweb.cgi?T=JS&amp;NEWS=n&amp;CSC=Y&amp;PAGE=booktext&amp;D=books&amp;AN=01382602$&amp;XPATH=/PG(0)&amp;EPUB=Y","http://ovidsp.ovid.com/ovidweb.cgi?T=JS&amp;NEWS=n&amp;CSC=Y&amp;PAGE=booktext&amp;D=books&amp;AN=01382602$&amp;XPATH=/PG(0)&amp;EPUB=Y")</f>
        <v>http://ovidsp.ovid.com/ovidweb.cgi?T=JS&amp;NEWS=n&amp;CSC=Y&amp;PAGE=booktext&amp;D=books&amp;AN=01382602$&amp;XPATH=/PG(0)&amp;EPUB=Y</v>
      </c>
      <c r="G714" t="s">
        <v>2139</v>
      </c>
      <c r="H714" t="s">
        <v>2974</v>
      </c>
      <c r="I714">
        <v>1206726</v>
      </c>
      <c r="J714" t="s">
        <v>3263</v>
      </c>
      <c r="K714" t="s">
        <v>1001</v>
      </c>
    </row>
    <row r="715" spans="1:11" x14ac:dyDescent="0.3">
      <c r="A715" t="s">
        <v>3901</v>
      </c>
      <c r="B715" t="s">
        <v>3024</v>
      </c>
      <c r="C715" t="s">
        <v>325</v>
      </c>
      <c r="D715" t="s">
        <v>4111</v>
      </c>
      <c r="E715" t="s">
        <v>3387</v>
      </c>
      <c r="F715" s="1" t="str">
        <f>HYPERLINK("http://ovidsp.ovid.com/ovidweb.cgi?T=JS&amp;NEWS=n&amp;CSC=Y&amp;PAGE=booktext&amp;D=books&amp;AN=00139964$&amp;XPATH=/PG(0)&amp;EPUB=Y","http://ovidsp.ovid.com/ovidweb.cgi?T=JS&amp;NEWS=n&amp;CSC=Y&amp;PAGE=booktext&amp;D=books&amp;AN=00139964$&amp;XPATH=/PG(0)&amp;EPUB=Y")</f>
        <v>http://ovidsp.ovid.com/ovidweb.cgi?T=JS&amp;NEWS=n&amp;CSC=Y&amp;PAGE=booktext&amp;D=books&amp;AN=00139964$&amp;XPATH=/PG(0)&amp;EPUB=Y</v>
      </c>
      <c r="G715" t="s">
        <v>2139</v>
      </c>
      <c r="H715" t="s">
        <v>2974</v>
      </c>
      <c r="I715">
        <v>1206726</v>
      </c>
      <c r="J715" t="s">
        <v>3263</v>
      </c>
      <c r="K715" t="s">
        <v>4295</v>
      </c>
    </row>
    <row r="716" spans="1:11" x14ac:dyDescent="0.3">
      <c r="A716" t="s">
        <v>3964</v>
      </c>
      <c r="B716" t="s">
        <v>1628</v>
      </c>
      <c r="C716" t="s">
        <v>1244</v>
      </c>
      <c r="D716" t="s">
        <v>4111</v>
      </c>
      <c r="E716" t="s">
        <v>2970</v>
      </c>
      <c r="F716" s="1" t="str">
        <f>HYPERLINK("http://ovidsp.ovid.com/ovidweb.cgi?T=JS&amp;NEWS=n&amp;CSC=Y&amp;PAGE=booktext&amp;D=books&amp;AN=01641767$&amp;XPATH=/PG(0)&amp;EPUB=Y","http://ovidsp.ovid.com/ovidweb.cgi?T=JS&amp;NEWS=n&amp;CSC=Y&amp;PAGE=booktext&amp;D=books&amp;AN=01641767$&amp;XPATH=/PG(0)&amp;EPUB=Y")</f>
        <v>http://ovidsp.ovid.com/ovidweb.cgi?T=JS&amp;NEWS=n&amp;CSC=Y&amp;PAGE=booktext&amp;D=books&amp;AN=01641767$&amp;XPATH=/PG(0)&amp;EPUB=Y</v>
      </c>
      <c r="G716" t="s">
        <v>2139</v>
      </c>
      <c r="H716" t="s">
        <v>2974</v>
      </c>
      <c r="I716">
        <v>1206726</v>
      </c>
      <c r="J716" t="s">
        <v>3263</v>
      </c>
      <c r="K716" t="s">
        <v>3393</v>
      </c>
    </row>
    <row r="717" spans="1:11" x14ac:dyDescent="0.3">
      <c r="A717" t="s">
        <v>517</v>
      </c>
      <c r="B717" t="s">
        <v>1853</v>
      </c>
      <c r="C717" t="s">
        <v>1736</v>
      </c>
      <c r="D717" t="s">
        <v>4111</v>
      </c>
      <c r="E717" t="s">
        <v>404</v>
      </c>
      <c r="F717" s="1" t="str">
        <f>HYPERLINK("http://ovidsp.ovid.com/ovidweb.cgi?T=JS&amp;NEWS=n&amp;CSC=Y&amp;PAGE=booktext&amp;D=books&amp;AN=01382605$&amp;XPATH=/PG(0)&amp;EPUB=Y","http://ovidsp.ovid.com/ovidweb.cgi?T=JS&amp;NEWS=n&amp;CSC=Y&amp;PAGE=booktext&amp;D=books&amp;AN=01382605$&amp;XPATH=/PG(0)&amp;EPUB=Y")</f>
        <v>http://ovidsp.ovid.com/ovidweb.cgi?T=JS&amp;NEWS=n&amp;CSC=Y&amp;PAGE=booktext&amp;D=books&amp;AN=01382605$&amp;XPATH=/PG(0)&amp;EPUB=Y</v>
      </c>
      <c r="G717" t="s">
        <v>2139</v>
      </c>
      <c r="H717" t="s">
        <v>2974</v>
      </c>
      <c r="I717">
        <v>1206726</v>
      </c>
      <c r="J717" t="s">
        <v>3263</v>
      </c>
      <c r="K717" t="s">
        <v>2307</v>
      </c>
    </row>
    <row r="718" spans="1:11" x14ac:dyDescent="0.3">
      <c r="A718" t="s">
        <v>1370</v>
      </c>
      <c r="B718" t="s">
        <v>1037</v>
      </c>
      <c r="C718" t="s">
        <v>1393</v>
      </c>
      <c r="D718" t="s">
        <v>4111</v>
      </c>
      <c r="E718" t="s">
        <v>2223</v>
      </c>
      <c r="F718" s="1" t="str">
        <f>HYPERLINK("http://ovidsp.ovid.com/ovidweb.cgi?T=JS&amp;NEWS=n&amp;CSC=Y&amp;PAGE=booktext&amp;D=books&amp;AN=01337563$&amp;XPATH=/PG(0)&amp;EPUB=Y","http://ovidsp.ovid.com/ovidweb.cgi?T=JS&amp;NEWS=n&amp;CSC=Y&amp;PAGE=booktext&amp;D=books&amp;AN=01337563$&amp;XPATH=/PG(0)&amp;EPUB=Y")</f>
        <v>http://ovidsp.ovid.com/ovidweb.cgi?T=JS&amp;NEWS=n&amp;CSC=Y&amp;PAGE=booktext&amp;D=books&amp;AN=01337563$&amp;XPATH=/PG(0)&amp;EPUB=Y</v>
      </c>
      <c r="G718" t="s">
        <v>2139</v>
      </c>
      <c r="H718" t="s">
        <v>2974</v>
      </c>
      <c r="I718">
        <v>1206726</v>
      </c>
      <c r="J718" t="s">
        <v>3263</v>
      </c>
      <c r="K718" t="s">
        <v>3251</v>
      </c>
    </row>
    <row r="719" spans="1:11" x14ac:dyDescent="0.3">
      <c r="A719" t="s">
        <v>4672</v>
      </c>
      <c r="B719" t="s">
        <v>4120</v>
      </c>
      <c r="C719" t="s">
        <v>2457</v>
      </c>
      <c r="D719" t="s">
        <v>4111</v>
      </c>
      <c r="E719" t="s">
        <v>2223</v>
      </c>
      <c r="F719" s="1" t="str">
        <f>HYPERLINK("http://ovidsp.ovid.com/ovidweb.cgi?T=JS&amp;NEWS=n&amp;CSC=Y&amp;PAGE=booktext&amp;D=books&amp;AN=01434774$&amp;XPATH=/PG(0)&amp;EPUB=Y","http://ovidsp.ovid.com/ovidweb.cgi?T=JS&amp;NEWS=n&amp;CSC=Y&amp;PAGE=booktext&amp;D=books&amp;AN=01434774$&amp;XPATH=/PG(0)&amp;EPUB=Y")</f>
        <v>http://ovidsp.ovid.com/ovidweb.cgi?T=JS&amp;NEWS=n&amp;CSC=Y&amp;PAGE=booktext&amp;D=books&amp;AN=01434774$&amp;XPATH=/PG(0)&amp;EPUB=Y</v>
      </c>
      <c r="G719" t="s">
        <v>2139</v>
      </c>
      <c r="H719" t="s">
        <v>2974</v>
      </c>
      <c r="I719">
        <v>1206726</v>
      </c>
      <c r="J719" t="s">
        <v>3263</v>
      </c>
      <c r="K719" t="s">
        <v>3189</v>
      </c>
    </row>
    <row r="720" spans="1:11" x14ac:dyDescent="0.3">
      <c r="A720" t="s">
        <v>4266</v>
      </c>
      <c r="B720" t="s">
        <v>3095</v>
      </c>
      <c r="C720" t="s">
        <v>4377</v>
      </c>
      <c r="D720" t="s">
        <v>4111</v>
      </c>
      <c r="E720" t="s">
        <v>2876</v>
      </c>
      <c r="F720" s="1" t="str">
        <f>HYPERLINK("http://ovidsp.ovid.com/ovidweb.cgi?T=JS&amp;NEWS=n&amp;CSC=Y&amp;PAGE=booktext&amp;D=books&amp;AN=01382487$&amp;XPATH=/PG(0)&amp;EPUB=Y","http://ovidsp.ovid.com/ovidweb.cgi?T=JS&amp;NEWS=n&amp;CSC=Y&amp;PAGE=booktext&amp;D=books&amp;AN=01382487$&amp;XPATH=/PG(0)&amp;EPUB=Y")</f>
        <v>http://ovidsp.ovid.com/ovidweb.cgi?T=JS&amp;NEWS=n&amp;CSC=Y&amp;PAGE=booktext&amp;D=books&amp;AN=01382487$&amp;XPATH=/PG(0)&amp;EPUB=Y</v>
      </c>
      <c r="G720" t="s">
        <v>2139</v>
      </c>
      <c r="H720" t="s">
        <v>2974</v>
      </c>
      <c r="I720">
        <v>1206726</v>
      </c>
      <c r="J720" t="s">
        <v>3263</v>
      </c>
      <c r="K720" t="s">
        <v>3486</v>
      </c>
    </row>
    <row r="721" spans="1:11" x14ac:dyDescent="0.3">
      <c r="A721" t="s">
        <v>572</v>
      </c>
      <c r="B721" t="s">
        <v>2007</v>
      </c>
      <c r="C721" t="s">
        <v>366</v>
      </c>
      <c r="D721" t="s">
        <v>4111</v>
      </c>
      <c r="E721" t="s">
        <v>404</v>
      </c>
      <c r="F721" s="1" t="str">
        <f>HYPERLINK("http://ovidsp.ovid.com/ovidweb.cgi?T=JS&amp;NEWS=n&amp;CSC=Y&amp;PAGE=booktext&amp;D=books&amp;AN=01382606$&amp;XPATH=/PG(0)&amp;EPUB=Y","http://ovidsp.ovid.com/ovidweb.cgi?T=JS&amp;NEWS=n&amp;CSC=Y&amp;PAGE=booktext&amp;D=books&amp;AN=01382606$&amp;XPATH=/PG(0)&amp;EPUB=Y")</f>
        <v>http://ovidsp.ovid.com/ovidweb.cgi?T=JS&amp;NEWS=n&amp;CSC=Y&amp;PAGE=booktext&amp;D=books&amp;AN=01382606$&amp;XPATH=/PG(0)&amp;EPUB=Y</v>
      </c>
      <c r="G721" t="s">
        <v>2139</v>
      </c>
      <c r="H721" t="s">
        <v>2974</v>
      </c>
      <c r="I721">
        <v>1206726</v>
      </c>
      <c r="J721" t="s">
        <v>3263</v>
      </c>
      <c r="K721" t="s">
        <v>3641</v>
      </c>
    </row>
    <row r="722" spans="1:11" x14ac:dyDescent="0.3">
      <c r="A722" t="s">
        <v>1549</v>
      </c>
      <c r="B722" t="s">
        <v>2286</v>
      </c>
      <c r="C722" t="s">
        <v>4463</v>
      </c>
      <c r="D722" t="s">
        <v>4111</v>
      </c>
      <c r="E722" t="s">
        <v>1104</v>
      </c>
      <c r="F722" s="1" t="str">
        <f>HYPERLINK("http://ovidsp.ovid.com/ovidweb.cgi?T=JS&amp;NEWS=n&amp;CSC=Y&amp;PAGE=booktext&amp;D=books&amp;AN=01437399$&amp;XPATH=/PG(0)&amp;EPUB=Y","http://ovidsp.ovid.com/ovidweb.cgi?T=JS&amp;NEWS=n&amp;CSC=Y&amp;PAGE=booktext&amp;D=books&amp;AN=01437399$&amp;XPATH=/PG(0)&amp;EPUB=Y")</f>
        <v>http://ovidsp.ovid.com/ovidweb.cgi?T=JS&amp;NEWS=n&amp;CSC=Y&amp;PAGE=booktext&amp;D=books&amp;AN=01437399$&amp;XPATH=/PG(0)&amp;EPUB=Y</v>
      </c>
      <c r="G722" t="s">
        <v>2139</v>
      </c>
      <c r="H722" t="s">
        <v>2974</v>
      </c>
      <c r="I722">
        <v>1206726</v>
      </c>
      <c r="J722" t="s">
        <v>3263</v>
      </c>
      <c r="K722" t="s">
        <v>3249</v>
      </c>
    </row>
    <row r="723" spans="1:11" x14ac:dyDescent="0.3">
      <c r="A723" t="s">
        <v>2485</v>
      </c>
      <c r="B723" t="s">
        <v>3266</v>
      </c>
      <c r="C723" t="s">
        <v>4121</v>
      </c>
      <c r="D723" t="s">
        <v>4111</v>
      </c>
      <c r="E723" t="s">
        <v>2223</v>
      </c>
      <c r="F723" s="1" t="str">
        <f>HYPERLINK("http://ovidsp.ovid.com/ovidweb.cgi?T=JS&amp;NEWS=n&amp;CSC=Y&amp;PAGE=booktext&amp;D=books&amp;AN=01382615$&amp;XPATH=/PG(0)&amp;EPUB=Y","http://ovidsp.ovid.com/ovidweb.cgi?T=JS&amp;NEWS=n&amp;CSC=Y&amp;PAGE=booktext&amp;D=books&amp;AN=01382615$&amp;XPATH=/PG(0)&amp;EPUB=Y")</f>
        <v>http://ovidsp.ovid.com/ovidweb.cgi?T=JS&amp;NEWS=n&amp;CSC=Y&amp;PAGE=booktext&amp;D=books&amp;AN=01382615$&amp;XPATH=/PG(0)&amp;EPUB=Y</v>
      </c>
      <c r="G723" t="s">
        <v>2139</v>
      </c>
      <c r="H723" t="s">
        <v>2974</v>
      </c>
      <c r="I723">
        <v>1206726</v>
      </c>
      <c r="J723" t="s">
        <v>3263</v>
      </c>
      <c r="K723" t="s">
        <v>3481</v>
      </c>
    </row>
    <row r="724" spans="1:11" x14ac:dyDescent="0.3">
      <c r="A724" t="s">
        <v>27</v>
      </c>
      <c r="B724" t="s">
        <v>2536</v>
      </c>
      <c r="C724" t="s">
        <v>1827</v>
      </c>
      <c r="D724" t="s">
        <v>4111</v>
      </c>
      <c r="E724" t="s">
        <v>2223</v>
      </c>
      <c r="F724" s="1" t="str">
        <f>HYPERLINK("http://ovidsp.ovid.com/ovidweb.cgi?T=JS&amp;NEWS=n&amp;CSC=Y&amp;PAGE=booktext&amp;D=books&amp;AN=01382616$&amp;XPATH=/PG(0)&amp;EPUB=Y","http://ovidsp.ovid.com/ovidweb.cgi?T=JS&amp;NEWS=n&amp;CSC=Y&amp;PAGE=booktext&amp;D=books&amp;AN=01382616$&amp;XPATH=/PG(0)&amp;EPUB=Y")</f>
        <v>http://ovidsp.ovid.com/ovidweb.cgi?T=JS&amp;NEWS=n&amp;CSC=Y&amp;PAGE=booktext&amp;D=books&amp;AN=01382616$&amp;XPATH=/PG(0)&amp;EPUB=Y</v>
      </c>
      <c r="G724" t="s">
        <v>2139</v>
      </c>
      <c r="H724" t="s">
        <v>2974</v>
      </c>
      <c r="I724">
        <v>1206726</v>
      </c>
      <c r="J724" t="s">
        <v>3263</v>
      </c>
      <c r="K724" t="s">
        <v>13</v>
      </c>
    </row>
    <row r="725" spans="1:11" x14ac:dyDescent="0.3">
      <c r="A725" t="s">
        <v>2363</v>
      </c>
      <c r="B725" t="s">
        <v>879</v>
      </c>
      <c r="C725" t="s">
        <v>4238</v>
      </c>
      <c r="D725" t="s">
        <v>4111</v>
      </c>
      <c r="E725" t="s">
        <v>404</v>
      </c>
      <c r="F725" s="1" t="str">
        <f>HYPERLINK("http://ovidsp.ovid.com/ovidweb.cgi?T=JS&amp;NEWS=n&amp;CSC=Y&amp;PAGE=booktext&amp;D=books&amp;AN=01279753$&amp;XPATH=/PG(0)&amp;EPUB=Y","http://ovidsp.ovid.com/ovidweb.cgi?T=JS&amp;NEWS=n&amp;CSC=Y&amp;PAGE=booktext&amp;D=books&amp;AN=01279753$&amp;XPATH=/PG(0)&amp;EPUB=Y")</f>
        <v>http://ovidsp.ovid.com/ovidweb.cgi?T=JS&amp;NEWS=n&amp;CSC=Y&amp;PAGE=booktext&amp;D=books&amp;AN=01279753$&amp;XPATH=/PG(0)&amp;EPUB=Y</v>
      </c>
      <c r="G725" t="s">
        <v>2139</v>
      </c>
      <c r="H725" t="s">
        <v>2974</v>
      </c>
      <c r="I725">
        <v>1206726</v>
      </c>
      <c r="J725" t="s">
        <v>3263</v>
      </c>
      <c r="K725" t="s">
        <v>2823</v>
      </c>
    </row>
    <row r="726" spans="1:11" x14ac:dyDescent="0.3">
      <c r="A726" t="s">
        <v>3858</v>
      </c>
      <c r="B726" t="s">
        <v>815</v>
      </c>
      <c r="C726" t="s">
        <v>1636</v>
      </c>
      <c r="D726" t="s">
        <v>4111</v>
      </c>
      <c r="E726" t="s">
        <v>404</v>
      </c>
      <c r="F726" s="1" t="str">
        <f>HYPERLINK("http://ovidsp.ovid.com/ovidweb.cgi?T=JS&amp;NEWS=n&amp;CSC=Y&amp;PAGE=booktext&amp;D=books&amp;AN=01382617$&amp;XPATH=/PG(0)&amp;EPUB=Y","http://ovidsp.ovid.com/ovidweb.cgi?T=JS&amp;NEWS=n&amp;CSC=Y&amp;PAGE=booktext&amp;D=books&amp;AN=01382617$&amp;XPATH=/PG(0)&amp;EPUB=Y")</f>
        <v>http://ovidsp.ovid.com/ovidweb.cgi?T=JS&amp;NEWS=n&amp;CSC=Y&amp;PAGE=booktext&amp;D=books&amp;AN=01382617$&amp;XPATH=/PG(0)&amp;EPUB=Y</v>
      </c>
      <c r="G726" t="s">
        <v>2139</v>
      </c>
      <c r="H726" t="s">
        <v>2974</v>
      </c>
      <c r="I726">
        <v>1206726</v>
      </c>
      <c r="J726" t="s">
        <v>3263</v>
      </c>
      <c r="K726" t="s">
        <v>1332</v>
      </c>
    </row>
    <row r="727" spans="1:11" x14ac:dyDescent="0.3">
      <c r="A727" t="s">
        <v>1980</v>
      </c>
      <c r="B727" t="s">
        <v>1316</v>
      </c>
      <c r="C727" t="s">
        <v>1650</v>
      </c>
      <c r="D727" t="s">
        <v>4111</v>
      </c>
      <c r="E727" t="s">
        <v>2223</v>
      </c>
      <c r="F727" s="1" t="str">
        <f>HYPERLINK("http://ovidsp.ovid.com/ovidweb.cgi?T=JS&amp;NEWS=n&amp;CSC=Y&amp;PAGE=booktext&amp;D=books&amp;AN=01382619$&amp;XPATH=/PG(0)&amp;EPUB=Y","http://ovidsp.ovid.com/ovidweb.cgi?T=JS&amp;NEWS=n&amp;CSC=Y&amp;PAGE=booktext&amp;D=books&amp;AN=01382619$&amp;XPATH=/PG(0)&amp;EPUB=Y")</f>
        <v>http://ovidsp.ovid.com/ovidweb.cgi?T=JS&amp;NEWS=n&amp;CSC=Y&amp;PAGE=booktext&amp;D=books&amp;AN=01382619$&amp;XPATH=/PG(0)&amp;EPUB=Y</v>
      </c>
      <c r="G727" t="s">
        <v>2139</v>
      </c>
      <c r="H727" t="s">
        <v>2974</v>
      </c>
      <c r="I727">
        <v>1206726</v>
      </c>
      <c r="J727" t="s">
        <v>3263</v>
      </c>
      <c r="K727" t="s">
        <v>284</v>
      </c>
    </row>
    <row r="728" spans="1:11" x14ac:dyDescent="0.3">
      <c r="A728" t="s">
        <v>1394</v>
      </c>
      <c r="B728" t="s">
        <v>88</v>
      </c>
      <c r="C728" t="s">
        <v>1685</v>
      </c>
      <c r="D728" t="s">
        <v>4111</v>
      </c>
      <c r="E728" t="s">
        <v>404</v>
      </c>
      <c r="F728" s="1" t="str">
        <f>HYPERLINK("http://ovidsp.ovid.com/ovidweb.cgi?T=JS&amp;NEWS=n&amp;CSC=Y&amp;PAGE=booktext&amp;D=books&amp;AN=01337564$&amp;XPATH=/PG(0)&amp;EPUB=Y","http://ovidsp.ovid.com/ovidweb.cgi?T=JS&amp;NEWS=n&amp;CSC=Y&amp;PAGE=booktext&amp;D=books&amp;AN=01337564$&amp;XPATH=/PG(0)&amp;EPUB=Y")</f>
        <v>http://ovidsp.ovid.com/ovidweb.cgi?T=JS&amp;NEWS=n&amp;CSC=Y&amp;PAGE=booktext&amp;D=books&amp;AN=01337564$&amp;XPATH=/PG(0)&amp;EPUB=Y</v>
      </c>
      <c r="G728" t="s">
        <v>2139</v>
      </c>
      <c r="H728" t="s">
        <v>2974</v>
      </c>
      <c r="I728">
        <v>1206726</v>
      </c>
      <c r="J728" t="s">
        <v>3263</v>
      </c>
      <c r="K728" t="s">
        <v>2691</v>
      </c>
    </row>
    <row r="729" spans="1:11" x14ac:dyDescent="0.3">
      <c r="A729" t="s">
        <v>538</v>
      </c>
      <c r="B729" t="s">
        <v>120</v>
      </c>
      <c r="C729" t="s">
        <v>3698</v>
      </c>
      <c r="D729" t="s">
        <v>4111</v>
      </c>
      <c r="E729" t="s">
        <v>1104</v>
      </c>
      <c r="F729" s="1" t="str">
        <f>HYPERLINK("http://ovidsp.ovid.com/ovidweb.cgi?T=JS&amp;NEWS=n&amp;CSC=Y&amp;PAGE=booktext&amp;D=books&amp;AN=01382620$&amp;XPATH=/PG(0)&amp;EPUB=Y","http://ovidsp.ovid.com/ovidweb.cgi?T=JS&amp;NEWS=n&amp;CSC=Y&amp;PAGE=booktext&amp;D=books&amp;AN=01382620$&amp;XPATH=/PG(0)&amp;EPUB=Y")</f>
        <v>http://ovidsp.ovid.com/ovidweb.cgi?T=JS&amp;NEWS=n&amp;CSC=Y&amp;PAGE=booktext&amp;D=books&amp;AN=01382620$&amp;XPATH=/PG(0)&amp;EPUB=Y</v>
      </c>
      <c r="G729" t="s">
        <v>2139</v>
      </c>
      <c r="H729" t="s">
        <v>2974</v>
      </c>
      <c r="I729">
        <v>1206726</v>
      </c>
      <c r="J729" t="s">
        <v>3263</v>
      </c>
      <c r="K729" t="s">
        <v>949</v>
      </c>
    </row>
    <row r="730" spans="1:11" x14ac:dyDescent="0.3">
      <c r="A730" t="s">
        <v>2350</v>
      </c>
      <c r="B730" t="s">
        <v>1981</v>
      </c>
      <c r="C730" t="s">
        <v>2747</v>
      </c>
      <c r="D730" t="s">
        <v>4111</v>
      </c>
      <c r="E730" t="s">
        <v>3051</v>
      </c>
      <c r="F730" s="1" t="str">
        <f>HYPERLINK("http://ovidsp.ovid.com/ovidweb.cgi?T=JS&amp;NEWS=n&amp;CSC=Y&amp;PAGE=booktext&amp;D=books&amp;AN=01382622$&amp;XPATH=/PG(0)&amp;EPUB=Y","http://ovidsp.ovid.com/ovidweb.cgi?T=JS&amp;NEWS=n&amp;CSC=Y&amp;PAGE=booktext&amp;D=books&amp;AN=01382622$&amp;XPATH=/PG(0)&amp;EPUB=Y")</f>
        <v>http://ovidsp.ovid.com/ovidweb.cgi?T=JS&amp;NEWS=n&amp;CSC=Y&amp;PAGE=booktext&amp;D=books&amp;AN=01382622$&amp;XPATH=/PG(0)&amp;EPUB=Y</v>
      </c>
      <c r="G730" t="s">
        <v>2139</v>
      </c>
      <c r="H730" t="s">
        <v>2974</v>
      </c>
      <c r="I730">
        <v>1206726</v>
      </c>
      <c r="J730" t="s">
        <v>3263</v>
      </c>
      <c r="K730" t="s">
        <v>232</v>
      </c>
    </row>
    <row r="731" spans="1:11" x14ac:dyDescent="0.3">
      <c r="A731" t="s">
        <v>853</v>
      </c>
      <c r="B731" t="s">
        <v>1362</v>
      </c>
      <c r="C731" t="s">
        <v>3027</v>
      </c>
      <c r="D731" t="s">
        <v>4111</v>
      </c>
      <c r="E731" t="s">
        <v>1595</v>
      </c>
      <c r="F731" s="1" t="str">
        <f>HYPERLINK("http://ovidsp.ovid.com/ovidweb.cgi?T=JS&amp;NEWS=n&amp;CSC=Y&amp;PAGE=booktext&amp;D=books&amp;AN=01382623$&amp;XPATH=/PG(0)&amp;EPUB=Y","http://ovidsp.ovid.com/ovidweb.cgi?T=JS&amp;NEWS=n&amp;CSC=Y&amp;PAGE=booktext&amp;D=books&amp;AN=01382623$&amp;XPATH=/PG(0)&amp;EPUB=Y")</f>
        <v>http://ovidsp.ovid.com/ovidweb.cgi?T=JS&amp;NEWS=n&amp;CSC=Y&amp;PAGE=booktext&amp;D=books&amp;AN=01382623$&amp;XPATH=/PG(0)&amp;EPUB=Y</v>
      </c>
      <c r="G731" t="s">
        <v>2139</v>
      </c>
      <c r="H731" t="s">
        <v>2974</v>
      </c>
      <c r="I731">
        <v>1206726</v>
      </c>
      <c r="J731" t="s">
        <v>3263</v>
      </c>
      <c r="K731" t="s">
        <v>239</v>
      </c>
    </row>
    <row r="732" spans="1:11" x14ac:dyDescent="0.3">
      <c r="A732" t="s">
        <v>988</v>
      </c>
      <c r="B732" t="s">
        <v>2871</v>
      </c>
      <c r="C732" t="s">
        <v>2769</v>
      </c>
      <c r="D732" t="s">
        <v>4111</v>
      </c>
      <c r="E732" t="s">
        <v>2223</v>
      </c>
      <c r="F732" s="1" t="str">
        <f>HYPERLINK("http://ovidsp.ovid.com/ovidweb.cgi?T=JS&amp;NEWS=n&amp;CSC=Y&amp;PAGE=booktext&amp;D=books&amp;AN=01412538$&amp;XPATH=/PG(0)&amp;EPUB=Y","http://ovidsp.ovid.com/ovidweb.cgi?T=JS&amp;NEWS=n&amp;CSC=Y&amp;PAGE=booktext&amp;D=books&amp;AN=01412538$&amp;XPATH=/PG(0)&amp;EPUB=Y")</f>
        <v>http://ovidsp.ovid.com/ovidweb.cgi?T=JS&amp;NEWS=n&amp;CSC=Y&amp;PAGE=booktext&amp;D=books&amp;AN=01412538$&amp;XPATH=/PG(0)&amp;EPUB=Y</v>
      </c>
      <c r="G732" t="s">
        <v>2139</v>
      </c>
      <c r="H732" t="s">
        <v>2974</v>
      </c>
      <c r="I732">
        <v>1206726</v>
      </c>
      <c r="J732" t="s">
        <v>3263</v>
      </c>
      <c r="K732" t="s">
        <v>663</v>
      </c>
    </row>
    <row r="733" spans="1:11" x14ac:dyDescent="0.3">
      <c r="A733" t="s">
        <v>930</v>
      </c>
      <c r="B733" t="s">
        <v>3076</v>
      </c>
      <c r="C733" t="s">
        <v>1763</v>
      </c>
      <c r="D733" t="s">
        <v>4111</v>
      </c>
      <c r="E733" t="s">
        <v>1104</v>
      </c>
      <c r="F733" s="1" t="str">
        <f>HYPERLINK("http://ovidsp.ovid.com/ovidweb.cgi?T=JS&amp;NEWS=n&amp;CSC=Y&amp;PAGE=booktext&amp;D=books&amp;AN=01382624$&amp;XPATH=/PG(0)&amp;EPUB=Y","http://ovidsp.ovid.com/ovidweb.cgi?T=JS&amp;NEWS=n&amp;CSC=Y&amp;PAGE=booktext&amp;D=books&amp;AN=01382624$&amp;XPATH=/PG(0)&amp;EPUB=Y")</f>
        <v>http://ovidsp.ovid.com/ovidweb.cgi?T=JS&amp;NEWS=n&amp;CSC=Y&amp;PAGE=booktext&amp;D=books&amp;AN=01382624$&amp;XPATH=/PG(0)&amp;EPUB=Y</v>
      </c>
      <c r="G733" t="s">
        <v>2139</v>
      </c>
      <c r="H733" t="s">
        <v>2974</v>
      </c>
      <c r="I733">
        <v>1206726</v>
      </c>
      <c r="J733" t="s">
        <v>3263</v>
      </c>
      <c r="K733" t="s">
        <v>3916</v>
      </c>
    </row>
    <row r="734" spans="1:11" x14ac:dyDescent="0.3">
      <c r="A734" t="s">
        <v>1990</v>
      </c>
      <c r="B734" t="s">
        <v>440</v>
      </c>
      <c r="C734" t="s">
        <v>3999</v>
      </c>
      <c r="D734" t="s">
        <v>4111</v>
      </c>
      <c r="E734" t="s">
        <v>2876</v>
      </c>
      <c r="F734" s="1" t="str">
        <f>HYPERLINK("http://ovidsp.ovid.com/ovidweb.cgi?T=JS&amp;NEWS=n&amp;CSC=Y&amp;PAGE=booktext&amp;D=books&amp;AN=01382621$&amp;XPATH=/PG(0)&amp;EPUB=Y","http://ovidsp.ovid.com/ovidweb.cgi?T=JS&amp;NEWS=n&amp;CSC=Y&amp;PAGE=booktext&amp;D=books&amp;AN=01382621$&amp;XPATH=/PG(0)&amp;EPUB=Y")</f>
        <v>http://ovidsp.ovid.com/ovidweb.cgi?T=JS&amp;NEWS=n&amp;CSC=Y&amp;PAGE=booktext&amp;D=books&amp;AN=01382621$&amp;XPATH=/PG(0)&amp;EPUB=Y</v>
      </c>
      <c r="G734" t="s">
        <v>2139</v>
      </c>
      <c r="H734" t="s">
        <v>2974</v>
      </c>
      <c r="I734">
        <v>1206726</v>
      </c>
      <c r="J734" t="s">
        <v>3263</v>
      </c>
      <c r="K734" t="s">
        <v>2994</v>
      </c>
    </row>
    <row r="735" spans="1:11" x14ac:dyDescent="0.3">
      <c r="A735" t="s">
        <v>3812</v>
      </c>
      <c r="B735" t="s">
        <v>2726</v>
      </c>
      <c r="C735" t="s">
        <v>0</v>
      </c>
      <c r="D735" t="s">
        <v>4111</v>
      </c>
      <c r="E735" t="s">
        <v>2223</v>
      </c>
      <c r="F735" s="1" t="str">
        <f>HYPERLINK("http://ovidsp.ovid.com/ovidweb.cgi?T=JS&amp;NEWS=n&amp;CSC=Y&amp;PAGE=booktext&amp;D=books&amp;AN=01337566$&amp;XPATH=/PG(0)&amp;EPUB=Y","http://ovidsp.ovid.com/ovidweb.cgi?T=JS&amp;NEWS=n&amp;CSC=Y&amp;PAGE=booktext&amp;D=books&amp;AN=01337566$&amp;XPATH=/PG(0)&amp;EPUB=Y")</f>
        <v>http://ovidsp.ovid.com/ovidweb.cgi?T=JS&amp;NEWS=n&amp;CSC=Y&amp;PAGE=booktext&amp;D=books&amp;AN=01337566$&amp;XPATH=/PG(0)&amp;EPUB=Y</v>
      </c>
      <c r="G735" t="s">
        <v>2139</v>
      </c>
      <c r="H735" t="s">
        <v>2974</v>
      </c>
      <c r="I735">
        <v>1206726</v>
      </c>
      <c r="J735" t="s">
        <v>3263</v>
      </c>
      <c r="K735" t="s">
        <v>4357</v>
      </c>
    </row>
    <row r="736" spans="1:11" x14ac:dyDescent="0.3">
      <c r="A736" t="s">
        <v>856</v>
      </c>
      <c r="B736" t="s">
        <v>920</v>
      </c>
      <c r="C736" t="s">
        <v>1151</v>
      </c>
      <c r="D736" t="s">
        <v>4111</v>
      </c>
      <c r="E736" t="s">
        <v>2223</v>
      </c>
      <c r="F736" s="1" t="str">
        <f>HYPERLINK("http://ovidsp.ovid.com/ovidweb.cgi?T=JS&amp;NEWS=n&amp;CSC=Y&amp;PAGE=booktext&amp;D=books&amp;AN=01412539$&amp;XPATH=/PG(0)&amp;EPUB=Y","http://ovidsp.ovid.com/ovidweb.cgi?T=JS&amp;NEWS=n&amp;CSC=Y&amp;PAGE=booktext&amp;D=books&amp;AN=01412539$&amp;XPATH=/PG(0)&amp;EPUB=Y")</f>
        <v>http://ovidsp.ovid.com/ovidweb.cgi?T=JS&amp;NEWS=n&amp;CSC=Y&amp;PAGE=booktext&amp;D=books&amp;AN=01412539$&amp;XPATH=/PG(0)&amp;EPUB=Y</v>
      </c>
      <c r="G736" t="s">
        <v>2139</v>
      </c>
      <c r="H736" t="s">
        <v>2974</v>
      </c>
      <c r="I736">
        <v>1206726</v>
      </c>
      <c r="J736" t="s">
        <v>3263</v>
      </c>
      <c r="K736" t="s">
        <v>4133</v>
      </c>
    </row>
    <row r="737" spans="1:11" x14ac:dyDescent="0.3">
      <c r="A737" t="s">
        <v>3954</v>
      </c>
      <c r="B737" t="s">
        <v>3464</v>
      </c>
      <c r="C737" t="s">
        <v>1117</v>
      </c>
      <c r="D737" t="s">
        <v>4111</v>
      </c>
      <c r="E737" t="s">
        <v>2876</v>
      </c>
      <c r="F737" s="1" t="str">
        <f>HYPERLINK("http://ovidsp.ovid.com/ovidweb.cgi?T=JS&amp;NEWS=n&amp;CSC=Y&amp;PAGE=booktext&amp;D=books&amp;AN=00149849$&amp;XPATH=/PG(0)&amp;EPUB=Y","http://ovidsp.ovid.com/ovidweb.cgi?T=JS&amp;NEWS=n&amp;CSC=Y&amp;PAGE=booktext&amp;D=books&amp;AN=00149849$&amp;XPATH=/PG(0)&amp;EPUB=Y")</f>
        <v>http://ovidsp.ovid.com/ovidweb.cgi?T=JS&amp;NEWS=n&amp;CSC=Y&amp;PAGE=booktext&amp;D=books&amp;AN=00149849$&amp;XPATH=/PG(0)&amp;EPUB=Y</v>
      </c>
      <c r="G737" t="s">
        <v>2139</v>
      </c>
      <c r="H737" t="s">
        <v>2974</v>
      </c>
      <c r="I737">
        <v>1206726</v>
      </c>
      <c r="J737" t="s">
        <v>3263</v>
      </c>
      <c r="K737" t="s">
        <v>1122</v>
      </c>
    </row>
    <row r="738" spans="1:11" x14ac:dyDescent="0.3">
      <c r="A738" t="s">
        <v>2928</v>
      </c>
      <c r="B738" t="s">
        <v>1249</v>
      </c>
      <c r="C738" t="s">
        <v>889</v>
      </c>
      <c r="D738" t="s">
        <v>4111</v>
      </c>
      <c r="E738" t="s">
        <v>1104</v>
      </c>
      <c r="F738" s="1" t="str">
        <f>HYPERLINK("http://ovidsp.ovid.com/ovidweb.cgi?T=JS&amp;NEWS=n&amp;CSC=Y&amp;PAGE=booktext&amp;D=books&amp;AN=01382625$&amp;XPATH=/PG(0)&amp;EPUB=Y","http://ovidsp.ovid.com/ovidweb.cgi?T=JS&amp;NEWS=n&amp;CSC=Y&amp;PAGE=booktext&amp;D=books&amp;AN=01382625$&amp;XPATH=/PG(0)&amp;EPUB=Y")</f>
        <v>http://ovidsp.ovid.com/ovidweb.cgi?T=JS&amp;NEWS=n&amp;CSC=Y&amp;PAGE=booktext&amp;D=books&amp;AN=01382625$&amp;XPATH=/PG(0)&amp;EPUB=Y</v>
      </c>
      <c r="G738" t="s">
        <v>2139</v>
      </c>
      <c r="H738" t="s">
        <v>2974</v>
      </c>
      <c r="I738">
        <v>1206726</v>
      </c>
      <c r="J738" t="s">
        <v>3263</v>
      </c>
      <c r="K738" t="s">
        <v>2368</v>
      </c>
    </row>
    <row r="739" spans="1:11" x14ac:dyDescent="0.3">
      <c r="A739" t="s">
        <v>2928</v>
      </c>
      <c r="B739" t="s">
        <v>801</v>
      </c>
      <c r="C739" t="s">
        <v>2179</v>
      </c>
      <c r="D739" t="s">
        <v>4111</v>
      </c>
      <c r="E739" t="s">
        <v>3051</v>
      </c>
      <c r="F739" s="1" t="str">
        <f>HYPERLINK("http://ovidsp.ovid.com/ovidweb.cgi?T=JS&amp;NEWS=n&amp;CSC=Y&amp;PAGE=booktext&amp;D=books&amp;AN=01745973$&amp;XPATH=/PG(0)&amp;EPUB=Y","http://ovidsp.ovid.com/ovidweb.cgi?T=JS&amp;NEWS=n&amp;CSC=Y&amp;PAGE=booktext&amp;D=books&amp;AN=01745973$&amp;XPATH=/PG(0)&amp;EPUB=Y")</f>
        <v>http://ovidsp.ovid.com/ovidweb.cgi?T=JS&amp;NEWS=n&amp;CSC=Y&amp;PAGE=booktext&amp;D=books&amp;AN=01745973$&amp;XPATH=/PG(0)&amp;EPUB=Y</v>
      </c>
      <c r="G739" t="s">
        <v>2139</v>
      </c>
      <c r="H739" t="s">
        <v>2974</v>
      </c>
      <c r="I739">
        <v>1206726</v>
      </c>
      <c r="J739" t="s">
        <v>3263</v>
      </c>
      <c r="K739" t="s">
        <v>1269</v>
      </c>
    </row>
    <row r="740" spans="1:11" x14ac:dyDescent="0.3">
      <c r="A740" t="s">
        <v>3308</v>
      </c>
      <c r="B740" t="s">
        <v>2008</v>
      </c>
      <c r="C740" t="s">
        <v>3941</v>
      </c>
      <c r="D740" t="s">
        <v>4111</v>
      </c>
      <c r="E740" t="s">
        <v>404</v>
      </c>
      <c r="F740" s="1" t="str">
        <f>HYPERLINK("http://ovidsp.ovid.com/ovidweb.cgi?T=JS&amp;NEWS=n&amp;CSC=Y&amp;PAGE=booktext&amp;D=books&amp;AN=01735127$&amp;XPATH=/PG(0)&amp;EPUB=Y","http://ovidsp.ovid.com/ovidweb.cgi?T=JS&amp;NEWS=n&amp;CSC=Y&amp;PAGE=booktext&amp;D=books&amp;AN=01735127$&amp;XPATH=/PG(0)&amp;EPUB=Y")</f>
        <v>http://ovidsp.ovid.com/ovidweb.cgi?T=JS&amp;NEWS=n&amp;CSC=Y&amp;PAGE=booktext&amp;D=books&amp;AN=01735127$&amp;XPATH=/PG(0)&amp;EPUB=Y</v>
      </c>
      <c r="G740" t="s">
        <v>2139</v>
      </c>
      <c r="H740" t="s">
        <v>2974</v>
      </c>
      <c r="I740">
        <v>1206726</v>
      </c>
      <c r="J740" t="s">
        <v>3263</v>
      </c>
      <c r="K740" t="s">
        <v>1023</v>
      </c>
    </row>
    <row r="741" spans="1:11" x14ac:dyDescent="0.3">
      <c r="A741" t="s">
        <v>3308</v>
      </c>
      <c r="B741" t="s">
        <v>1718</v>
      </c>
      <c r="C741" t="s">
        <v>1669</v>
      </c>
      <c r="D741" t="s">
        <v>4111</v>
      </c>
      <c r="E741" t="s">
        <v>2223</v>
      </c>
      <c r="F741" s="1" t="str">
        <f>HYPERLINK("http://ovidsp.ovid.com/ovidweb.cgi?T=JS&amp;NEWS=n&amp;CSC=Y&amp;PAGE=booktext&amp;D=books&amp;AN=01276486$&amp;XPATH=/PG(0)&amp;EPUB=Y","http://ovidsp.ovid.com/ovidweb.cgi?T=JS&amp;NEWS=n&amp;CSC=Y&amp;PAGE=booktext&amp;D=books&amp;AN=01276486$&amp;XPATH=/PG(0)&amp;EPUB=Y")</f>
        <v>http://ovidsp.ovid.com/ovidweb.cgi?T=JS&amp;NEWS=n&amp;CSC=Y&amp;PAGE=booktext&amp;D=books&amp;AN=01276486$&amp;XPATH=/PG(0)&amp;EPUB=Y</v>
      </c>
      <c r="G741" t="s">
        <v>2139</v>
      </c>
      <c r="H741" t="s">
        <v>2974</v>
      </c>
      <c r="I741">
        <v>1206726</v>
      </c>
      <c r="J741" t="s">
        <v>3263</v>
      </c>
      <c r="K741" t="s">
        <v>3607</v>
      </c>
    </row>
    <row r="742" spans="1:11" x14ac:dyDescent="0.3">
      <c r="A742" t="s">
        <v>409</v>
      </c>
      <c r="B742" t="s">
        <v>3043</v>
      </c>
      <c r="C742" t="s">
        <v>4558</v>
      </c>
      <c r="D742" t="s">
        <v>4111</v>
      </c>
      <c r="E742" t="s">
        <v>2223</v>
      </c>
      <c r="F742" s="1" t="str">
        <f>HYPERLINK("http://ovidsp.ovid.com/ovidweb.cgi?T=JS&amp;NEWS=n&amp;CSC=Y&amp;PAGE=booktext&amp;D=books&amp;AN=01279754$&amp;XPATH=/PG(0)&amp;EPUB=Y","http://ovidsp.ovid.com/ovidweb.cgi?T=JS&amp;NEWS=n&amp;CSC=Y&amp;PAGE=booktext&amp;D=books&amp;AN=01279754$&amp;XPATH=/PG(0)&amp;EPUB=Y")</f>
        <v>http://ovidsp.ovid.com/ovidweb.cgi?T=JS&amp;NEWS=n&amp;CSC=Y&amp;PAGE=booktext&amp;D=books&amp;AN=01279754$&amp;XPATH=/PG(0)&amp;EPUB=Y</v>
      </c>
      <c r="G742" t="s">
        <v>2139</v>
      </c>
      <c r="H742" t="s">
        <v>2974</v>
      </c>
      <c r="I742">
        <v>1206726</v>
      </c>
      <c r="J742" t="s">
        <v>3263</v>
      </c>
      <c r="K742" t="s">
        <v>2454</v>
      </c>
    </row>
    <row r="743" spans="1:11" x14ac:dyDescent="0.3">
      <c r="A743" t="s">
        <v>3078</v>
      </c>
      <c r="B743" t="s">
        <v>3072</v>
      </c>
      <c r="C743" t="s">
        <v>3252</v>
      </c>
      <c r="D743" t="s">
        <v>4111</v>
      </c>
      <c r="E743" t="s">
        <v>2223</v>
      </c>
      <c r="F743" s="1" t="str">
        <f>HYPERLINK("http://ovidsp.ovid.com/ovidweb.cgi?T=JS&amp;NEWS=n&amp;CSC=Y&amp;PAGE=booktext&amp;D=books&amp;AN=01429408$&amp;XPATH=/PG(0)&amp;EPUB=Y","http://ovidsp.ovid.com/ovidweb.cgi?T=JS&amp;NEWS=n&amp;CSC=Y&amp;PAGE=booktext&amp;D=books&amp;AN=01429408$&amp;XPATH=/PG(0)&amp;EPUB=Y")</f>
        <v>http://ovidsp.ovid.com/ovidweb.cgi?T=JS&amp;NEWS=n&amp;CSC=Y&amp;PAGE=booktext&amp;D=books&amp;AN=01429408$&amp;XPATH=/PG(0)&amp;EPUB=Y</v>
      </c>
      <c r="G743" t="s">
        <v>2139</v>
      </c>
      <c r="H743" t="s">
        <v>2974</v>
      </c>
      <c r="I743">
        <v>1206726</v>
      </c>
      <c r="J743" t="s">
        <v>3263</v>
      </c>
      <c r="K743" t="s">
        <v>2653</v>
      </c>
    </row>
    <row r="744" spans="1:11" x14ac:dyDescent="0.3">
      <c r="A744" t="s">
        <v>3200</v>
      </c>
      <c r="B744" t="s">
        <v>505</v>
      </c>
      <c r="C744" t="s">
        <v>2877</v>
      </c>
      <c r="D744" t="s">
        <v>4111</v>
      </c>
      <c r="E744" t="s">
        <v>2223</v>
      </c>
      <c r="F744" s="1" t="str">
        <f>HYPERLINK("http://ovidsp.ovid.com/ovidweb.cgi?T=JS&amp;NEWS=n&amp;CSC=Y&amp;PAGE=booktext&amp;D=books&amp;AN=01382510$&amp;XPATH=/PG(0)&amp;EPUB=Y","http://ovidsp.ovid.com/ovidweb.cgi?T=JS&amp;NEWS=n&amp;CSC=Y&amp;PAGE=booktext&amp;D=books&amp;AN=01382510$&amp;XPATH=/PG(0)&amp;EPUB=Y")</f>
        <v>http://ovidsp.ovid.com/ovidweb.cgi?T=JS&amp;NEWS=n&amp;CSC=Y&amp;PAGE=booktext&amp;D=books&amp;AN=01382510$&amp;XPATH=/PG(0)&amp;EPUB=Y</v>
      </c>
      <c r="G744" t="s">
        <v>2139</v>
      </c>
      <c r="H744" t="s">
        <v>2974</v>
      </c>
      <c r="I744">
        <v>1206726</v>
      </c>
      <c r="J744" t="s">
        <v>3263</v>
      </c>
      <c r="K744" t="s">
        <v>3907</v>
      </c>
    </row>
    <row r="745" spans="1:11" x14ac:dyDescent="0.3">
      <c r="A745" t="s">
        <v>910</v>
      </c>
      <c r="B745" t="s">
        <v>904</v>
      </c>
      <c r="C745" t="s">
        <v>1279</v>
      </c>
      <c r="D745" t="s">
        <v>4111</v>
      </c>
      <c r="E745" t="s">
        <v>404</v>
      </c>
      <c r="F745" s="1" t="str">
        <f>HYPERLINK("http://ovidsp.ovid.com/ovidweb.cgi?T=JS&amp;NEWS=n&amp;CSC=Y&amp;PAGE=booktext&amp;D=books&amp;AN=01337567$&amp;XPATH=/PG(0)&amp;EPUB=Y","http://ovidsp.ovid.com/ovidweb.cgi?T=JS&amp;NEWS=n&amp;CSC=Y&amp;PAGE=booktext&amp;D=books&amp;AN=01337567$&amp;XPATH=/PG(0)&amp;EPUB=Y")</f>
        <v>http://ovidsp.ovid.com/ovidweb.cgi?T=JS&amp;NEWS=n&amp;CSC=Y&amp;PAGE=booktext&amp;D=books&amp;AN=01337567$&amp;XPATH=/PG(0)&amp;EPUB=Y</v>
      </c>
      <c r="G745" t="s">
        <v>2139</v>
      </c>
      <c r="H745" t="s">
        <v>2974</v>
      </c>
      <c r="I745">
        <v>1206726</v>
      </c>
      <c r="J745" t="s">
        <v>3263</v>
      </c>
      <c r="K745" t="s">
        <v>2649</v>
      </c>
    </row>
    <row r="746" spans="1:11" x14ac:dyDescent="0.3">
      <c r="A746" t="s">
        <v>1676</v>
      </c>
      <c r="B746" t="s">
        <v>4344</v>
      </c>
      <c r="C746" t="s">
        <v>1713</v>
      </c>
      <c r="D746" t="s">
        <v>4111</v>
      </c>
      <c r="E746" t="s">
        <v>3387</v>
      </c>
      <c r="F746" s="1" t="str">
        <f>HYPERLINK("http://ovidsp.ovid.com/ovidweb.cgi?T=JS&amp;NEWS=n&amp;CSC=Y&amp;PAGE=booktext&amp;D=books&amp;AN=01382488$&amp;XPATH=/PG(0)&amp;EPUB=Y","http://ovidsp.ovid.com/ovidweb.cgi?T=JS&amp;NEWS=n&amp;CSC=Y&amp;PAGE=booktext&amp;D=books&amp;AN=01382488$&amp;XPATH=/PG(0)&amp;EPUB=Y")</f>
        <v>http://ovidsp.ovid.com/ovidweb.cgi?T=JS&amp;NEWS=n&amp;CSC=Y&amp;PAGE=booktext&amp;D=books&amp;AN=01382488$&amp;XPATH=/PG(0)&amp;EPUB=Y</v>
      </c>
      <c r="G746" t="s">
        <v>2139</v>
      </c>
      <c r="H746" t="s">
        <v>2974</v>
      </c>
      <c r="I746">
        <v>1206726</v>
      </c>
      <c r="J746" t="s">
        <v>3263</v>
      </c>
      <c r="K746" t="s">
        <v>3764</v>
      </c>
    </row>
    <row r="747" spans="1:11" x14ac:dyDescent="0.3">
      <c r="A747" t="s">
        <v>1676</v>
      </c>
      <c r="B747" t="s">
        <v>1450</v>
      </c>
      <c r="C747" t="s">
        <v>2239</v>
      </c>
      <c r="D747" t="s">
        <v>4111</v>
      </c>
      <c r="E747" t="s">
        <v>1595</v>
      </c>
      <c r="F747" s="1" t="str">
        <f>HYPERLINK("http://ovidsp.ovid.com/ovidweb.cgi?T=JS&amp;NEWS=n&amp;CSC=Y&amp;PAGE=booktext&amp;D=books&amp;AN=01745974$&amp;XPATH=/PG(0)&amp;EPUB=Y","http://ovidsp.ovid.com/ovidweb.cgi?T=JS&amp;NEWS=n&amp;CSC=Y&amp;PAGE=booktext&amp;D=books&amp;AN=01745974$&amp;XPATH=/PG(0)&amp;EPUB=Y")</f>
        <v>http://ovidsp.ovid.com/ovidweb.cgi?T=JS&amp;NEWS=n&amp;CSC=Y&amp;PAGE=booktext&amp;D=books&amp;AN=01745974$&amp;XPATH=/PG(0)&amp;EPUB=Y</v>
      </c>
      <c r="G747" t="s">
        <v>2139</v>
      </c>
      <c r="H747" t="s">
        <v>2974</v>
      </c>
      <c r="I747">
        <v>1206726</v>
      </c>
      <c r="J747" t="s">
        <v>3263</v>
      </c>
      <c r="K747" t="s">
        <v>455</v>
      </c>
    </row>
    <row r="748" spans="1:11" x14ac:dyDescent="0.3">
      <c r="A748" t="s">
        <v>820</v>
      </c>
      <c r="B748" t="s">
        <v>1455</v>
      </c>
      <c r="C748" t="s">
        <v>3309</v>
      </c>
      <c r="D748" t="s">
        <v>4111</v>
      </c>
      <c r="E748" t="s">
        <v>404</v>
      </c>
      <c r="F748" s="1" t="str">
        <f>HYPERLINK("http://ovidsp.ovid.com/ovidweb.cgi?T=JS&amp;NEWS=n&amp;CSC=Y&amp;PAGE=booktext&amp;D=books&amp;AN=01382742$&amp;XPATH=/PG(0)&amp;EPUB=Y","http://ovidsp.ovid.com/ovidweb.cgi?T=JS&amp;NEWS=n&amp;CSC=Y&amp;PAGE=booktext&amp;D=books&amp;AN=01382742$&amp;XPATH=/PG(0)&amp;EPUB=Y")</f>
        <v>http://ovidsp.ovid.com/ovidweb.cgi?T=JS&amp;NEWS=n&amp;CSC=Y&amp;PAGE=booktext&amp;D=books&amp;AN=01382742$&amp;XPATH=/PG(0)&amp;EPUB=Y</v>
      </c>
      <c r="G748" t="s">
        <v>2139</v>
      </c>
      <c r="H748" t="s">
        <v>2974</v>
      </c>
      <c r="I748">
        <v>1206726</v>
      </c>
      <c r="J748" t="s">
        <v>3263</v>
      </c>
      <c r="K748" t="s">
        <v>3523</v>
      </c>
    </row>
    <row r="749" spans="1:11" x14ac:dyDescent="0.3">
      <c r="A749" t="s">
        <v>2391</v>
      </c>
      <c r="B749" t="s">
        <v>1915</v>
      </c>
      <c r="C749" t="s">
        <v>1250</v>
      </c>
      <c r="D749" t="s">
        <v>4111</v>
      </c>
      <c r="E749" t="s">
        <v>2223</v>
      </c>
      <c r="F749" s="1" t="str">
        <f>HYPERLINK("http://ovidsp.ovid.com/ovidweb.cgi?T=JS&amp;NEWS=n&amp;CSC=Y&amp;PAGE=booktext&amp;D=books&amp;AN=01382782$&amp;XPATH=/PG(0)&amp;EPUB=Y","http://ovidsp.ovid.com/ovidweb.cgi?T=JS&amp;NEWS=n&amp;CSC=Y&amp;PAGE=booktext&amp;D=books&amp;AN=01382782$&amp;XPATH=/PG(0)&amp;EPUB=Y")</f>
        <v>http://ovidsp.ovid.com/ovidweb.cgi?T=JS&amp;NEWS=n&amp;CSC=Y&amp;PAGE=booktext&amp;D=books&amp;AN=01382782$&amp;XPATH=/PG(0)&amp;EPUB=Y</v>
      </c>
      <c r="G749" t="s">
        <v>2139</v>
      </c>
      <c r="H749" t="s">
        <v>2974</v>
      </c>
      <c r="I749">
        <v>1206726</v>
      </c>
      <c r="J749" t="s">
        <v>3263</v>
      </c>
      <c r="K749" t="s">
        <v>1002</v>
      </c>
    </row>
    <row r="750" spans="1:11" x14ac:dyDescent="0.3">
      <c r="A750" t="s">
        <v>1081</v>
      </c>
      <c r="B750" t="s">
        <v>4443</v>
      </c>
      <c r="C750" t="s">
        <v>4488</v>
      </c>
      <c r="D750" t="s">
        <v>4111</v>
      </c>
      <c r="E750" t="s">
        <v>2223</v>
      </c>
      <c r="F750" s="1" t="str">
        <f>HYPERLINK("http://ovidsp.ovid.com/ovidweb.cgi?T=JS&amp;NEWS=n&amp;CSC=Y&amp;PAGE=booktext&amp;D=books&amp;AN=01382792$&amp;XPATH=/PG(0)&amp;EPUB=Y","http://ovidsp.ovid.com/ovidweb.cgi?T=JS&amp;NEWS=n&amp;CSC=Y&amp;PAGE=booktext&amp;D=books&amp;AN=01382792$&amp;XPATH=/PG(0)&amp;EPUB=Y")</f>
        <v>http://ovidsp.ovid.com/ovidweb.cgi?T=JS&amp;NEWS=n&amp;CSC=Y&amp;PAGE=booktext&amp;D=books&amp;AN=01382792$&amp;XPATH=/PG(0)&amp;EPUB=Y</v>
      </c>
      <c r="G750" t="s">
        <v>2139</v>
      </c>
      <c r="H750" t="s">
        <v>2974</v>
      </c>
      <c r="I750">
        <v>1206726</v>
      </c>
      <c r="J750" t="s">
        <v>3263</v>
      </c>
      <c r="K750" t="s">
        <v>3030</v>
      </c>
    </row>
    <row r="751" spans="1:11" x14ac:dyDescent="0.3">
      <c r="A751" t="s">
        <v>2717</v>
      </c>
      <c r="B751" t="s">
        <v>703</v>
      </c>
      <c r="C751" t="s">
        <v>4635</v>
      </c>
      <c r="D751" t="s">
        <v>4111</v>
      </c>
      <c r="E751" t="s">
        <v>2223</v>
      </c>
      <c r="F751" s="1" t="str">
        <f>HYPERLINK("http://ovidsp.ovid.com/ovidweb.cgi?T=JS&amp;NEWS=n&amp;CSC=Y&amp;PAGE=booktext&amp;D=books&amp;AN=01382748$&amp;XPATH=/PG(0)&amp;EPUB=Y","http://ovidsp.ovid.com/ovidweb.cgi?T=JS&amp;NEWS=n&amp;CSC=Y&amp;PAGE=booktext&amp;D=books&amp;AN=01382748$&amp;XPATH=/PG(0)&amp;EPUB=Y")</f>
        <v>http://ovidsp.ovid.com/ovidweb.cgi?T=JS&amp;NEWS=n&amp;CSC=Y&amp;PAGE=booktext&amp;D=books&amp;AN=01382748$&amp;XPATH=/PG(0)&amp;EPUB=Y</v>
      </c>
      <c r="G751" t="s">
        <v>2139</v>
      </c>
      <c r="H751" t="s">
        <v>2974</v>
      </c>
      <c r="I751">
        <v>1206726</v>
      </c>
      <c r="J751" t="s">
        <v>3263</v>
      </c>
      <c r="K751" t="s">
        <v>2601</v>
      </c>
    </row>
    <row r="752" spans="1:11" x14ac:dyDescent="0.3">
      <c r="A752" t="s">
        <v>3191</v>
      </c>
      <c r="B752" t="s">
        <v>1537</v>
      </c>
      <c r="C752" t="s">
        <v>2784</v>
      </c>
      <c r="D752" t="s">
        <v>4111</v>
      </c>
      <c r="E752" t="s">
        <v>2223</v>
      </c>
      <c r="F752" s="1" t="str">
        <f>HYPERLINK("http://ovidsp.ovid.com/ovidweb.cgi?T=JS&amp;NEWS=n&amp;CSC=Y&amp;PAGE=booktext&amp;D=books&amp;AN=01382781$&amp;XPATH=/PG(0)&amp;EPUB=Y","http://ovidsp.ovid.com/ovidweb.cgi?T=JS&amp;NEWS=n&amp;CSC=Y&amp;PAGE=booktext&amp;D=books&amp;AN=01382781$&amp;XPATH=/PG(0)&amp;EPUB=Y")</f>
        <v>http://ovidsp.ovid.com/ovidweb.cgi?T=JS&amp;NEWS=n&amp;CSC=Y&amp;PAGE=booktext&amp;D=books&amp;AN=01382781$&amp;XPATH=/PG(0)&amp;EPUB=Y</v>
      </c>
      <c r="G752" t="s">
        <v>2139</v>
      </c>
      <c r="H752" t="s">
        <v>2974</v>
      </c>
      <c r="I752">
        <v>1206726</v>
      </c>
      <c r="J752" t="s">
        <v>3263</v>
      </c>
      <c r="K752" t="s">
        <v>3889</v>
      </c>
    </row>
    <row r="753" spans="1:11" x14ac:dyDescent="0.3">
      <c r="A753" t="s">
        <v>1380</v>
      </c>
      <c r="B753" t="s">
        <v>1227</v>
      </c>
      <c r="C753" t="s">
        <v>525</v>
      </c>
      <c r="D753" t="s">
        <v>4111</v>
      </c>
      <c r="E753" t="s">
        <v>2223</v>
      </c>
      <c r="F753" s="1" t="str">
        <f>HYPERLINK("http://ovidsp.ovid.com/ovidweb.cgi?T=JS&amp;NEWS=n&amp;CSC=Y&amp;PAGE=booktext&amp;D=books&amp;AN=01382756$&amp;XPATH=/PG(0)&amp;EPUB=Y","http://ovidsp.ovid.com/ovidweb.cgi?T=JS&amp;NEWS=n&amp;CSC=Y&amp;PAGE=booktext&amp;D=books&amp;AN=01382756$&amp;XPATH=/PG(0)&amp;EPUB=Y")</f>
        <v>http://ovidsp.ovid.com/ovidweb.cgi?T=JS&amp;NEWS=n&amp;CSC=Y&amp;PAGE=booktext&amp;D=books&amp;AN=01382756$&amp;XPATH=/PG(0)&amp;EPUB=Y</v>
      </c>
      <c r="G753" t="s">
        <v>2139</v>
      </c>
      <c r="H753" t="s">
        <v>2974</v>
      </c>
      <c r="I753">
        <v>1206726</v>
      </c>
      <c r="J753" t="s">
        <v>3263</v>
      </c>
      <c r="K753" t="s">
        <v>1082</v>
      </c>
    </row>
    <row r="754" spans="1:11" x14ac:dyDescent="0.3">
      <c r="A754" t="s">
        <v>2777</v>
      </c>
      <c r="B754" t="s">
        <v>4362</v>
      </c>
      <c r="C754" t="s">
        <v>4300</v>
      </c>
      <c r="D754" t="s">
        <v>4111</v>
      </c>
      <c r="E754" t="s">
        <v>2223</v>
      </c>
      <c r="F754" s="1" t="str">
        <f>HYPERLINK("http://ovidsp.ovid.com/ovidweb.cgi?T=JS&amp;NEWS=n&amp;CSC=Y&amp;PAGE=booktext&amp;D=books&amp;AN=01382789$&amp;XPATH=/PG(0)&amp;EPUB=Y","http://ovidsp.ovid.com/ovidweb.cgi?T=JS&amp;NEWS=n&amp;CSC=Y&amp;PAGE=booktext&amp;D=books&amp;AN=01382789$&amp;XPATH=/PG(0)&amp;EPUB=Y")</f>
        <v>http://ovidsp.ovid.com/ovidweb.cgi?T=JS&amp;NEWS=n&amp;CSC=Y&amp;PAGE=booktext&amp;D=books&amp;AN=01382789$&amp;XPATH=/PG(0)&amp;EPUB=Y</v>
      </c>
      <c r="G754" t="s">
        <v>2139</v>
      </c>
      <c r="H754" t="s">
        <v>2974</v>
      </c>
      <c r="I754">
        <v>1206726</v>
      </c>
      <c r="J754" t="s">
        <v>3263</v>
      </c>
      <c r="K754" t="s">
        <v>2099</v>
      </c>
    </row>
    <row r="755" spans="1:11" x14ac:dyDescent="0.3">
      <c r="A755" t="s">
        <v>2856</v>
      </c>
      <c r="B755" t="s">
        <v>2763</v>
      </c>
      <c r="C755" t="s">
        <v>137</v>
      </c>
      <c r="D755" t="s">
        <v>4111</v>
      </c>
      <c r="E755" t="s">
        <v>2223</v>
      </c>
      <c r="F755" s="1" t="str">
        <f>HYPERLINK("http://ovidsp.ovid.com/ovidweb.cgi?T=JS&amp;NEWS=n&amp;CSC=Y&amp;PAGE=booktext&amp;D=books&amp;AN=01429608$&amp;XPATH=/PG(0)&amp;EPUB=Y","http://ovidsp.ovid.com/ovidweb.cgi?T=JS&amp;NEWS=n&amp;CSC=Y&amp;PAGE=booktext&amp;D=books&amp;AN=01429608$&amp;XPATH=/PG(0)&amp;EPUB=Y")</f>
        <v>http://ovidsp.ovid.com/ovidweb.cgi?T=JS&amp;NEWS=n&amp;CSC=Y&amp;PAGE=booktext&amp;D=books&amp;AN=01429608$&amp;XPATH=/PG(0)&amp;EPUB=Y</v>
      </c>
      <c r="G755" t="s">
        <v>2139</v>
      </c>
      <c r="H755" t="s">
        <v>2974</v>
      </c>
      <c r="I755">
        <v>1206726</v>
      </c>
      <c r="J755" t="s">
        <v>3263</v>
      </c>
      <c r="K755" t="s">
        <v>2542</v>
      </c>
    </row>
    <row r="756" spans="1:11" x14ac:dyDescent="0.3">
      <c r="A756" t="s">
        <v>3832</v>
      </c>
      <c r="B756" t="s">
        <v>2656</v>
      </c>
      <c r="C756" t="s">
        <v>4645</v>
      </c>
      <c r="D756" t="s">
        <v>4111</v>
      </c>
      <c r="E756" t="s">
        <v>2223</v>
      </c>
      <c r="F756" s="1" t="str">
        <f>HYPERLINK("http://ovidsp.ovid.com/ovidweb.cgi?T=JS&amp;NEWS=n&amp;CSC=Y&amp;PAGE=booktext&amp;D=books&amp;AN=01382864$&amp;XPATH=/PG(0)&amp;EPUB=Y","http://ovidsp.ovid.com/ovidweb.cgi?T=JS&amp;NEWS=n&amp;CSC=Y&amp;PAGE=booktext&amp;D=books&amp;AN=01382864$&amp;XPATH=/PG(0)&amp;EPUB=Y")</f>
        <v>http://ovidsp.ovid.com/ovidweb.cgi?T=JS&amp;NEWS=n&amp;CSC=Y&amp;PAGE=booktext&amp;D=books&amp;AN=01382864$&amp;XPATH=/PG(0)&amp;EPUB=Y</v>
      </c>
      <c r="G756" t="s">
        <v>2139</v>
      </c>
      <c r="H756" t="s">
        <v>2974</v>
      </c>
      <c r="I756">
        <v>1206726</v>
      </c>
      <c r="J756" t="s">
        <v>3263</v>
      </c>
      <c r="K756" t="s">
        <v>3955</v>
      </c>
    </row>
    <row r="757" spans="1:11" x14ac:dyDescent="0.3">
      <c r="A757" t="s">
        <v>310</v>
      </c>
      <c r="B757" t="s">
        <v>1091</v>
      </c>
      <c r="C757" t="s">
        <v>647</v>
      </c>
      <c r="D757" t="s">
        <v>4111</v>
      </c>
      <c r="E757" t="s">
        <v>404</v>
      </c>
      <c r="F757" s="1" t="str">
        <f>HYPERLINK("http://ovidsp.ovid.com/ovidweb.cgi?T=JS&amp;NEWS=n&amp;CSC=Y&amp;PAGE=booktext&amp;D=books&amp;AN=01382733$&amp;XPATH=/PG(0)&amp;EPUB=Y","http://ovidsp.ovid.com/ovidweb.cgi?T=JS&amp;NEWS=n&amp;CSC=Y&amp;PAGE=booktext&amp;D=books&amp;AN=01382733$&amp;XPATH=/PG(0)&amp;EPUB=Y")</f>
        <v>http://ovidsp.ovid.com/ovidweb.cgi?T=JS&amp;NEWS=n&amp;CSC=Y&amp;PAGE=booktext&amp;D=books&amp;AN=01382733$&amp;XPATH=/PG(0)&amp;EPUB=Y</v>
      </c>
      <c r="G757" t="s">
        <v>2139</v>
      </c>
      <c r="H757" t="s">
        <v>2974</v>
      </c>
      <c r="I757">
        <v>1206726</v>
      </c>
      <c r="J757" t="s">
        <v>3263</v>
      </c>
      <c r="K757" t="s">
        <v>4677</v>
      </c>
    </row>
    <row r="758" spans="1:11" x14ac:dyDescent="0.3">
      <c r="A758" t="s">
        <v>1128</v>
      </c>
      <c r="B758" t="s">
        <v>1692</v>
      </c>
      <c r="C758" t="s">
        <v>4079</v>
      </c>
      <c r="D758" t="s">
        <v>4111</v>
      </c>
      <c r="E758" t="s">
        <v>2223</v>
      </c>
      <c r="F758" s="1" t="str">
        <f>HYPERLINK("http://ovidsp.ovid.com/ovidweb.cgi?T=JS&amp;NEWS=n&amp;CSC=Y&amp;PAGE=booktext&amp;D=books&amp;AN=01382862$&amp;XPATH=/PG(0)&amp;EPUB=Y","http://ovidsp.ovid.com/ovidweb.cgi?T=JS&amp;NEWS=n&amp;CSC=Y&amp;PAGE=booktext&amp;D=books&amp;AN=01382862$&amp;XPATH=/PG(0)&amp;EPUB=Y")</f>
        <v>http://ovidsp.ovid.com/ovidweb.cgi?T=JS&amp;NEWS=n&amp;CSC=Y&amp;PAGE=booktext&amp;D=books&amp;AN=01382862$&amp;XPATH=/PG(0)&amp;EPUB=Y</v>
      </c>
      <c r="G758" t="s">
        <v>2139</v>
      </c>
      <c r="H758" t="s">
        <v>2974</v>
      </c>
      <c r="I758">
        <v>1206726</v>
      </c>
      <c r="J758" t="s">
        <v>3263</v>
      </c>
      <c r="K758" t="s">
        <v>3750</v>
      </c>
    </row>
    <row r="759" spans="1:11" x14ac:dyDescent="0.3">
      <c r="A759" t="s">
        <v>1658</v>
      </c>
      <c r="B759" t="s">
        <v>379</v>
      </c>
      <c r="C759" t="s">
        <v>3389</v>
      </c>
      <c r="D759" t="s">
        <v>4111</v>
      </c>
      <c r="E759" t="s">
        <v>2223</v>
      </c>
      <c r="F759" s="1" t="str">
        <f>HYPERLINK("http://ovidsp.ovid.com/ovidweb.cgi?T=JS&amp;NEWS=n&amp;CSC=Y&amp;PAGE=booktext&amp;D=books&amp;AN=01382865$&amp;XPATH=/PG(0)&amp;EPUB=Y","http://ovidsp.ovid.com/ovidweb.cgi?T=JS&amp;NEWS=n&amp;CSC=Y&amp;PAGE=booktext&amp;D=books&amp;AN=01382865$&amp;XPATH=/PG(0)&amp;EPUB=Y")</f>
        <v>http://ovidsp.ovid.com/ovidweb.cgi?T=JS&amp;NEWS=n&amp;CSC=Y&amp;PAGE=booktext&amp;D=books&amp;AN=01382865$&amp;XPATH=/PG(0)&amp;EPUB=Y</v>
      </c>
      <c r="G759" t="s">
        <v>2139</v>
      </c>
      <c r="H759" t="s">
        <v>2974</v>
      </c>
      <c r="I759">
        <v>1206726</v>
      </c>
      <c r="J759" t="s">
        <v>3263</v>
      </c>
      <c r="K759" t="s">
        <v>3843</v>
      </c>
    </row>
    <row r="760" spans="1:11" x14ac:dyDescent="0.3">
      <c r="A760" t="s">
        <v>2851</v>
      </c>
      <c r="B760" t="s">
        <v>1895</v>
      </c>
      <c r="C760" t="s">
        <v>1389</v>
      </c>
      <c r="D760" t="s">
        <v>4111</v>
      </c>
      <c r="E760" t="s">
        <v>2223</v>
      </c>
      <c r="F760" s="1" t="str">
        <f>HYPERLINK("http://ovidsp.ovid.com/ovidweb.cgi?T=JS&amp;NEWS=n&amp;CSC=Y&amp;PAGE=booktext&amp;D=books&amp;AN=01382866$&amp;XPATH=/PG(0)&amp;EPUB=Y","http://ovidsp.ovid.com/ovidweb.cgi?T=JS&amp;NEWS=n&amp;CSC=Y&amp;PAGE=booktext&amp;D=books&amp;AN=01382866$&amp;XPATH=/PG(0)&amp;EPUB=Y")</f>
        <v>http://ovidsp.ovid.com/ovidweb.cgi?T=JS&amp;NEWS=n&amp;CSC=Y&amp;PAGE=booktext&amp;D=books&amp;AN=01382866$&amp;XPATH=/PG(0)&amp;EPUB=Y</v>
      </c>
      <c r="G760" t="s">
        <v>2139</v>
      </c>
      <c r="H760" t="s">
        <v>2974</v>
      </c>
      <c r="I760">
        <v>1206726</v>
      </c>
      <c r="J760" t="s">
        <v>3263</v>
      </c>
      <c r="K760" t="s">
        <v>3246</v>
      </c>
    </row>
    <row r="761" spans="1:11" x14ac:dyDescent="0.3">
      <c r="A761" t="s">
        <v>207</v>
      </c>
      <c r="B761" t="s">
        <v>2654</v>
      </c>
      <c r="C761" t="s">
        <v>4511</v>
      </c>
      <c r="D761" t="s">
        <v>4111</v>
      </c>
      <c r="E761" t="s">
        <v>2223</v>
      </c>
      <c r="F761" s="1" t="str">
        <f>HYPERLINK("http://ovidsp.ovid.com/ovidweb.cgi?T=JS&amp;NEWS=n&amp;CSC=Y&amp;PAGE=booktext&amp;D=books&amp;AN=01382732$&amp;XPATH=/PG(0)&amp;EPUB=Y","http://ovidsp.ovid.com/ovidweb.cgi?T=JS&amp;NEWS=n&amp;CSC=Y&amp;PAGE=booktext&amp;D=books&amp;AN=01382732$&amp;XPATH=/PG(0)&amp;EPUB=Y")</f>
        <v>http://ovidsp.ovid.com/ovidweb.cgi?T=JS&amp;NEWS=n&amp;CSC=Y&amp;PAGE=booktext&amp;D=books&amp;AN=01382732$&amp;XPATH=/PG(0)&amp;EPUB=Y</v>
      </c>
      <c r="G761" t="s">
        <v>2139</v>
      </c>
      <c r="H761" t="s">
        <v>2974</v>
      </c>
      <c r="I761">
        <v>1206726</v>
      </c>
      <c r="J761" t="s">
        <v>3263</v>
      </c>
      <c r="K761" t="s">
        <v>1385</v>
      </c>
    </row>
    <row r="762" spans="1:11" x14ac:dyDescent="0.3">
      <c r="A762" t="s">
        <v>3501</v>
      </c>
      <c r="B762" t="s">
        <v>1753</v>
      </c>
      <c r="C762" t="s">
        <v>2253</v>
      </c>
      <c r="D762" t="s">
        <v>4111</v>
      </c>
      <c r="E762" t="s">
        <v>2876</v>
      </c>
      <c r="F762" s="1" t="str">
        <f>HYPERLINK("http://ovidsp.ovid.com/ovidweb.cgi?T=JS&amp;NEWS=n&amp;CSC=Y&amp;PAGE=booktext&amp;D=books&amp;AN=01223026$&amp;XPATH=/PG(0)&amp;EPUB=Y","http://ovidsp.ovid.com/ovidweb.cgi?T=JS&amp;NEWS=n&amp;CSC=Y&amp;PAGE=booktext&amp;D=books&amp;AN=01223026$&amp;XPATH=/PG(0)&amp;EPUB=Y")</f>
        <v>http://ovidsp.ovid.com/ovidweb.cgi?T=JS&amp;NEWS=n&amp;CSC=Y&amp;PAGE=booktext&amp;D=books&amp;AN=01223026$&amp;XPATH=/PG(0)&amp;EPUB=Y</v>
      </c>
      <c r="G762" t="s">
        <v>2139</v>
      </c>
      <c r="H762" t="s">
        <v>2974</v>
      </c>
      <c r="I762">
        <v>1206726</v>
      </c>
      <c r="J762" t="s">
        <v>3263</v>
      </c>
      <c r="K762" t="s">
        <v>599</v>
      </c>
    </row>
    <row r="763" spans="1:11" x14ac:dyDescent="0.3">
      <c r="A763" t="s">
        <v>596</v>
      </c>
      <c r="B763" t="s">
        <v>3612</v>
      </c>
      <c r="C763" t="s">
        <v>3921</v>
      </c>
      <c r="D763" t="s">
        <v>4111</v>
      </c>
      <c r="E763" t="s">
        <v>3387</v>
      </c>
      <c r="F763" s="1" t="str">
        <f>HYPERLINK("http://ovidsp.ovid.com/ovidweb.cgi?T=JS&amp;NEWS=n&amp;CSC=Y&amp;PAGE=booktext&amp;D=books&amp;AN=01435374$&amp;XPATH=/PG(0)&amp;EPUB=Y","http://ovidsp.ovid.com/ovidweb.cgi?T=JS&amp;NEWS=n&amp;CSC=Y&amp;PAGE=booktext&amp;D=books&amp;AN=01435374$&amp;XPATH=/PG(0)&amp;EPUB=Y")</f>
        <v>http://ovidsp.ovid.com/ovidweb.cgi?T=JS&amp;NEWS=n&amp;CSC=Y&amp;PAGE=booktext&amp;D=books&amp;AN=01435374$&amp;XPATH=/PG(0)&amp;EPUB=Y</v>
      </c>
      <c r="G763" t="s">
        <v>2139</v>
      </c>
      <c r="H763" t="s">
        <v>2974</v>
      </c>
      <c r="I763">
        <v>1206726</v>
      </c>
      <c r="J763" t="s">
        <v>3263</v>
      </c>
      <c r="K763" t="s">
        <v>4688</v>
      </c>
    </row>
    <row r="764" spans="1:11" x14ac:dyDescent="0.3">
      <c r="A764" t="s">
        <v>729</v>
      </c>
      <c r="B764" t="s">
        <v>3778</v>
      </c>
      <c r="C764" t="s">
        <v>1916</v>
      </c>
      <c r="D764" t="s">
        <v>4111</v>
      </c>
      <c r="E764" t="s">
        <v>2223</v>
      </c>
      <c r="F764" s="1" t="str">
        <f>HYPERLINK("http://ovidsp.ovid.com/ovidweb.cgi?T=JS&amp;NEWS=n&amp;CSC=Y&amp;PAGE=booktext&amp;D=books&amp;AN=01382813$&amp;XPATH=/PG(0)&amp;EPUB=Y","http://ovidsp.ovid.com/ovidweb.cgi?T=JS&amp;NEWS=n&amp;CSC=Y&amp;PAGE=booktext&amp;D=books&amp;AN=01382813$&amp;XPATH=/PG(0)&amp;EPUB=Y")</f>
        <v>http://ovidsp.ovid.com/ovidweb.cgi?T=JS&amp;NEWS=n&amp;CSC=Y&amp;PAGE=booktext&amp;D=books&amp;AN=01382813$&amp;XPATH=/PG(0)&amp;EPUB=Y</v>
      </c>
      <c r="G764" t="s">
        <v>2139</v>
      </c>
      <c r="H764" t="s">
        <v>2974</v>
      </c>
      <c r="I764">
        <v>1206726</v>
      </c>
      <c r="J764" t="s">
        <v>3263</v>
      </c>
      <c r="K764" t="s">
        <v>1310</v>
      </c>
    </row>
    <row r="765" spans="1:11" x14ac:dyDescent="0.3">
      <c r="A765" t="s">
        <v>689</v>
      </c>
      <c r="B765" t="s">
        <v>3636</v>
      </c>
      <c r="C765" t="s">
        <v>711</v>
      </c>
      <c r="D765" t="s">
        <v>4111</v>
      </c>
      <c r="E765" t="s">
        <v>3672</v>
      </c>
      <c r="F765" s="1" t="str">
        <f>HYPERLINK("http://ovidsp.ovid.com/ovidweb.cgi?T=JS&amp;NEWS=n&amp;CSC=Y&amp;PAGE=booktext&amp;D=books&amp;AN=01376503$&amp;XPATH=/PG(0)&amp;EPUB=Y","http://ovidsp.ovid.com/ovidweb.cgi?T=JS&amp;NEWS=n&amp;CSC=Y&amp;PAGE=booktext&amp;D=books&amp;AN=01376503$&amp;XPATH=/PG(0)&amp;EPUB=Y")</f>
        <v>http://ovidsp.ovid.com/ovidweb.cgi?T=JS&amp;NEWS=n&amp;CSC=Y&amp;PAGE=booktext&amp;D=books&amp;AN=01376503$&amp;XPATH=/PG(0)&amp;EPUB=Y</v>
      </c>
      <c r="G765" t="s">
        <v>2139</v>
      </c>
      <c r="H765" t="s">
        <v>2974</v>
      </c>
      <c r="I765">
        <v>1206726</v>
      </c>
      <c r="J765" t="s">
        <v>3263</v>
      </c>
      <c r="K765" t="s">
        <v>1102</v>
      </c>
    </row>
    <row r="766" spans="1:11" x14ac:dyDescent="0.3">
      <c r="A766" t="s">
        <v>2081</v>
      </c>
      <c r="B766" t="s">
        <v>1138</v>
      </c>
      <c r="C766" t="s">
        <v>3591</v>
      </c>
      <c r="D766" t="s">
        <v>4111</v>
      </c>
      <c r="E766" t="s">
        <v>905</v>
      </c>
      <c r="F766" s="1" t="str">
        <f>HYPERLINK("http://ovidsp.ovid.com/ovidweb.cgi?T=JS&amp;NEWS=n&amp;CSC=Y&amp;PAGE=booktext&amp;D=books&amp;AN=01634920$&amp;XPATH=/PG(0)&amp;EPUB=Y","http://ovidsp.ovid.com/ovidweb.cgi?T=JS&amp;NEWS=n&amp;CSC=Y&amp;PAGE=booktext&amp;D=books&amp;AN=01634920$&amp;XPATH=/PG(0)&amp;EPUB=Y")</f>
        <v>http://ovidsp.ovid.com/ovidweb.cgi?T=JS&amp;NEWS=n&amp;CSC=Y&amp;PAGE=booktext&amp;D=books&amp;AN=01634920$&amp;XPATH=/PG(0)&amp;EPUB=Y</v>
      </c>
      <c r="G766" t="s">
        <v>2139</v>
      </c>
      <c r="H766" t="s">
        <v>2974</v>
      </c>
      <c r="I766">
        <v>1206726</v>
      </c>
      <c r="J766" t="s">
        <v>3263</v>
      </c>
      <c r="K766" t="s">
        <v>3194</v>
      </c>
    </row>
    <row r="767" spans="1:11" x14ac:dyDescent="0.3">
      <c r="A767" t="s">
        <v>4001</v>
      </c>
      <c r="B767" t="s">
        <v>1019</v>
      </c>
      <c r="C767" t="s">
        <v>2316</v>
      </c>
      <c r="D767" t="s">
        <v>4111</v>
      </c>
      <c r="E767" t="s">
        <v>4077</v>
      </c>
      <c r="F767" s="1" t="str">
        <f>HYPERLINK("http://ovidsp.ovid.com/ovidweb.cgi?T=JS&amp;NEWS=n&amp;CSC=Y&amp;PAGE=booktext&amp;D=books&amp;AN=01745909$&amp;XPATH=/PG(0)&amp;EPUB=Y","http://ovidsp.ovid.com/ovidweb.cgi?T=JS&amp;NEWS=n&amp;CSC=Y&amp;PAGE=booktext&amp;D=books&amp;AN=01745909$&amp;XPATH=/PG(0)&amp;EPUB=Y")</f>
        <v>http://ovidsp.ovid.com/ovidweb.cgi?T=JS&amp;NEWS=n&amp;CSC=Y&amp;PAGE=booktext&amp;D=books&amp;AN=01745909$&amp;XPATH=/PG(0)&amp;EPUB=Y</v>
      </c>
      <c r="G767" t="s">
        <v>2139</v>
      </c>
      <c r="H767" t="s">
        <v>2974</v>
      </c>
      <c r="I767">
        <v>1206726</v>
      </c>
      <c r="J767" t="s">
        <v>3263</v>
      </c>
      <c r="K767" t="s">
        <v>1342</v>
      </c>
    </row>
    <row r="768" spans="1:11" x14ac:dyDescent="0.3">
      <c r="A768" t="s">
        <v>1570</v>
      </c>
      <c r="B768" t="s">
        <v>2637</v>
      </c>
      <c r="C768" t="s">
        <v>1755</v>
      </c>
      <c r="D768" t="s">
        <v>4111</v>
      </c>
      <c r="E768" t="s">
        <v>4384</v>
      </c>
      <c r="F768" s="1" t="str">
        <f>HYPERLINK("http://ovidsp.ovid.com/ovidweb.cgi?T=JS&amp;NEWS=n&amp;CSC=Y&amp;PAGE=booktext&amp;D=books&amp;AN=01872914$&amp;XPATH=/PG(0)&amp;EPUB=Y","http://ovidsp.ovid.com/ovidweb.cgi?T=JS&amp;NEWS=n&amp;CSC=Y&amp;PAGE=booktext&amp;D=books&amp;AN=01872914$&amp;XPATH=/PG(0)&amp;EPUB=Y")</f>
        <v>http://ovidsp.ovid.com/ovidweb.cgi?T=JS&amp;NEWS=n&amp;CSC=Y&amp;PAGE=booktext&amp;D=books&amp;AN=01872914$&amp;XPATH=/PG(0)&amp;EPUB=Y</v>
      </c>
      <c r="G768" t="s">
        <v>2139</v>
      </c>
      <c r="H768" t="s">
        <v>2974</v>
      </c>
      <c r="I768">
        <v>1206726</v>
      </c>
      <c r="J768" t="s">
        <v>3263</v>
      </c>
      <c r="K768" t="s">
        <v>1973</v>
      </c>
    </row>
    <row r="769" spans="1:11" x14ac:dyDescent="0.3">
      <c r="A769" t="s">
        <v>2396</v>
      </c>
      <c r="B769" t="s">
        <v>1441</v>
      </c>
      <c r="C769" t="s">
        <v>2335</v>
      </c>
      <c r="D769" t="s">
        <v>4111</v>
      </c>
      <c r="E769" t="s">
        <v>892</v>
      </c>
      <c r="F769" s="1" t="str">
        <f>HYPERLINK("http://ovidsp.ovid.com/ovidweb.cgi?T=JS&amp;NEWS=n&amp;CSC=Y&amp;PAGE=booktext&amp;D=books&amp;AN=02008471$&amp;XPATH=/PG(0)&amp;EPUB=Y","http://ovidsp.ovid.com/ovidweb.cgi?T=JS&amp;NEWS=n&amp;CSC=Y&amp;PAGE=booktext&amp;D=books&amp;AN=02008471$&amp;XPATH=/PG(0)&amp;EPUB=Y")</f>
        <v>http://ovidsp.ovid.com/ovidweb.cgi?T=JS&amp;NEWS=n&amp;CSC=Y&amp;PAGE=booktext&amp;D=books&amp;AN=02008471$&amp;XPATH=/PG(0)&amp;EPUB=Y</v>
      </c>
      <c r="G769" t="s">
        <v>2139</v>
      </c>
      <c r="H769" t="s">
        <v>2974</v>
      </c>
      <c r="I769">
        <v>1206726</v>
      </c>
      <c r="J769" t="s">
        <v>3502</v>
      </c>
      <c r="K769" t="s">
        <v>4495</v>
      </c>
    </row>
    <row r="770" spans="1:11" x14ac:dyDescent="0.3">
      <c r="A770" t="s">
        <v>3283</v>
      </c>
      <c r="B770" t="s">
        <v>3716</v>
      </c>
      <c r="C770" t="s">
        <v>3380</v>
      </c>
      <c r="D770" t="s">
        <v>4111</v>
      </c>
      <c r="E770" t="s">
        <v>404</v>
      </c>
      <c r="F770" s="1" t="str">
        <f>HYPERLINK("http://ovidsp.ovid.com/ovidweb.cgi?T=JS&amp;NEWS=n&amp;CSC=Y&amp;PAGE=booktext&amp;D=books&amp;AN=01745927$&amp;XPATH=/PG(0)&amp;EPUB=Y","http://ovidsp.ovid.com/ovidweb.cgi?T=JS&amp;NEWS=n&amp;CSC=Y&amp;PAGE=booktext&amp;D=books&amp;AN=01745927$&amp;XPATH=/PG(0)&amp;EPUB=Y")</f>
        <v>http://ovidsp.ovid.com/ovidweb.cgi?T=JS&amp;NEWS=n&amp;CSC=Y&amp;PAGE=booktext&amp;D=books&amp;AN=01745927$&amp;XPATH=/PG(0)&amp;EPUB=Y</v>
      </c>
      <c r="G770" t="s">
        <v>2139</v>
      </c>
      <c r="H770" t="s">
        <v>2974</v>
      </c>
      <c r="I770">
        <v>1206726</v>
      </c>
      <c r="J770" t="s">
        <v>3263</v>
      </c>
      <c r="K770" t="s">
        <v>3598</v>
      </c>
    </row>
    <row r="771" spans="1:11" x14ac:dyDescent="0.3">
      <c r="A771" t="s">
        <v>3283</v>
      </c>
      <c r="B771" t="s">
        <v>1617</v>
      </c>
      <c r="C771" t="s">
        <v>964</v>
      </c>
      <c r="D771" t="s">
        <v>4111</v>
      </c>
      <c r="E771" t="s">
        <v>2223</v>
      </c>
      <c r="F771" s="1" t="str">
        <f>HYPERLINK("http://ovidsp.ovid.com/ovidweb.cgi?T=JS&amp;NEWS=n&amp;CSC=Y&amp;PAGE=booktext&amp;D=books&amp;AN=01382772$&amp;XPATH=/PG(0)&amp;EPUB=Y","http://ovidsp.ovid.com/ovidweb.cgi?T=JS&amp;NEWS=n&amp;CSC=Y&amp;PAGE=booktext&amp;D=books&amp;AN=01382772$&amp;XPATH=/PG(0)&amp;EPUB=Y")</f>
        <v>http://ovidsp.ovid.com/ovidweb.cgi?T=JS&amp;NEWS=n&amp;CSC=Y&amp;PAGE=booktext&amp;D=books&amp;AN=01382772$&amp;XPATH=/PG(0)&amp;EPUB=Y</v>
      </c>
      <c r="G771" t="s">
        <v>2139</v>
      </c>
      <c r="H771" t="s">
        <v>2974</v>
      </c>
      <c r="I771">
        <v>1206726</v>
      </c>
      <c r="J771" t="s">
        <v>3263</v>
      </c>
      <c r="K771" t="s">
        <v>1896</v>
      </c>
    </row>
    <row r="772" spans="1:11" x14ac:dyDescent="0.3">
      <c r="A772" t="s">
        <v>3240</v>
      </c>
      <c r="B772" t="s">
        <v>1778</v>
      </c>
      <c r="C772" t="s">
        <v>4282</v>
      </c>
      <c r="D772" t="s">
        <v>4111</v>
      </c>
      <c r="E772" t="s">
        <v>2876</v>
      </c>
      <c r="F772" s="1" t="str">
        <f>HYPERLINK("http://ovidsp.ovid.com/ovidweb.cgi?T=JS&amp;NEWS=n&amp;CSC=Y&amp;PAGE=booktext&amp;D=books&amp;AN=01400417$&amp;XPATH=/PG(0)&amp;EPUB=Y","http://ovidsp.ovid.com/ovidweb.cgi?T=JS&amp;NEWS=n&amp;CSC=Y&amp;PAGE=booktext&amp;D=books&amp;AN=01400417$&amp;XPATH=/PG(0)&amp;EPUB=Y")</f>
        <v>http://ovidsp.ovid.com/ovidweb.cgi?T=JS&amp;NEWS=n&amp;CSC=Y&amp;PAGE=booktext&amp;D=books&amp;AN=01400417$&amp;XPATH=/PG(0)&amp;EPUB=Y</v>
      </c>
      <c r="G772" t="s">
        <v>2139</v>
      </c>
      <c r="H772" t="s">
        <v>2974</v>
      </c>
      <c r="I772">
        <v>1206726</v>
      </c>
      <c r="J772" t="s">
        <v>3263</v>
      </c>
      <c r="K772" t="s">
        <v>245</v>
      </c>
    </row>
    <row r="773" spans="1:11" x14ac:dyDescent="0.3">
      <c r="A773" t="s">
        <v>73</v>
      </c>
      <c r="B773" t="s">
        <v>1724</v>
      </c>
      <c r="C773" t="s">
        <v>1075</v>
      </c>
      <c r="D773" t="s">
        <v>4111</v>
      </c>
      <c r="E773" t="s">
        <v>2970</v>
      </c>
      <c r="F773" s="1" t="str">
        <f>HYPERLINK("http://ovidsp.ovid.com/ovidweb.cgi?T=JS&amp;NEWS=n&amp;CSC=Y&amp;PAGE=booktext&amp;D=books&amp;AN=01437104$&amp;XPATH=/PG(0)&amp;EPUB=Y","http://ovidsp.ovid.com/ovidweb.cgi?T=JS&amp;NEWS=n&amp;CSC=Y&amp;PAGE=booktext&amp;D=books&amp;AN=01437104$&amp;XPATH=/PG(0)&amp;EPUB=Y")</f>
        <v>http://ovidsp.ovid.com/ovidweb.cgi?T=JS&amp;NEWS=n&amp;CSC=Y&amp;PAGE=booktext&amp;D=books&amp;AN=01437104$&amp;XPATH=/PG(0)&amp;EPUB=Y</v>
      </c>
      <c r="G773" t="s">
        <v>2139</v>
      </c>
      <c r="H773" t="s">
        <v>2974</v>
      </c>
      <c r="I773">
        <v>1206726</v>
      </c>
      <c r="J773" t="s">
        <v>3263</v>
      </c>
      <c r="K773" t="s">
        <v>1511</v>
      </c>
    </row>
    <row r="774" spans="1:11" x14ac:dyDescent="0.3">
      <c r="A774" t="s">
        <v>215</v>
      </c>
      <c r="B774" t="s">
        <v>3291</v>
      </c>
      <c r="C774" t="s">
        <v>2539</v>
      </c>
      <c r="D774" t="s">
        <v>3727</v>
      </c>
      <c r="E774" t="s">
        <v>171</v>
      </c>
      <c r="F774" s="1" t="str">
        <f>HYPERLINK("http://ovidsp.ovid.com/ovidweb.cgi?T=JS&amp;NEWS=n&amp;CSC=Y&amp;PAGE=booktext&amp;D=books&amp;AN=01429614$&amp;XPATH=/PG(0)&amp;EPUB=Y","http://ovidsp.ovid.com/ovidweb.cgi?T=JS&amp;NEWS=n&amp;CSC=Y&amp;PAGE=booktext&amp;D=books&amp;AN=01429614$&amp;XPATH=/PG(0)&amp;EPUB=Y")</f>
        <v>http://ovidsp.ovid.com/ovidweb.cgi?T=JS&amp;NEWS=n&amp;CSC=Y&amp;PAGE=booktext&amp;D=books&amp;AN=01429614$&amp;XPATH=/PG(0)&amp;EPUB=Y</v>
      </c>
      <c r="G774" t="s">
        <v>2139</v>
      </c>
      <c r="H774" t="s">
        <v>2974</v>
      </c>
      <c r="I774">
        <v>1206726</v>
      </c>
      <c r="J774" t="s">
        <v>3263</v>
      </c>
      <c r="K774" t="s">
        <v>4302</v>
      </c>
    </row>
    <row r="775" spans="1:11" x14ac:dyDescent="0.3">
      <c r="A775" t="s">
        <v>215</v>
      </c>
      <c r="B775" t="s">
        <v>3070</v>
      </c>
      <c r="C775" t="s">
        <v>4080</v>
      </c>
      <c r="D775" t="s">
        <v>4111</v>
      </c>
      <c r="E775" t="s">
        <v>259</v>
      </c>
      <c r="F775" s="1" t="str">
        <f>HYPERLINK("http://ovidsp.ovid.com/ovidweb.cgi?T=JS&amp;NEWS=n&amp;CSC=Y&amp;PAGE=booktext&amp;D=books&amp;AN=01787397$&amp;XPATH=/PG(0)&amp;EPUB=Y","http://ovidsp.ovid.com/ovidweb.cgi?T=JS&amp;NEWS=n&amp;CSC=Y&amp;PAGE=booktext&amp;D=books&amp;AN=01787397$&amp;XPATH=/PG(0)&amp;EPUB=Y")</f>
        <v>http://ovidsp.ovid.com/ovidweb.cgi?T=JS&amp;NEWS=n&amp;CSC=Y&amp;PAGE=booktext&amp;D=books&amp;AN=01787397$&amp;XPATH=/PG(0)&amp;EPUB=Y</v>
      </c>
      <c r="G775" t="s">
        <v>2139</v>
      </c>
      <c r="H775" t="s">
        <v>2974</v>
      </c>
      <c r="I775">
        <v>1206726</v>
      </c>
      <c r="J775" t="s">
        <v>3263</v>
      </c>
      <c r="K775" t="s">
        <v>3342</v>
      </c>
    </row>
    <row r="776" spans="1:11" x14ac:dyDescent="0.3">
      <c r="A776" t="s">
        <v>215</v>
      </c>
      <c r="B776" t="s">
        <v>4673</v>
      </c>
      <c r="C776" t="s">
        <v>3471</v>
      </c>
      <c r="D776" t="s">
        <v>4111</v>
      </c>
      <c r="E776" t="s">
        <v>535</v>
      </c>
      <c r="F776" s="1" t="str">
        <f>HYPERLINK("http://ovidsp.ovid.com/ovidweb.cgi?T=JS&amp;NEWS=n&amp;CSC=Y&amp;PAGE=booktext&amp;D=books&amp;AN=00139968$&amp;XPATH=/PG(0)&amp;EPUB=Y","http://ovidsp.ovid.com/ovidweb.cgi?T=JS&amp;NEWS=n&amp;CSC=Y&amp;PAGE=booktext&amp;D=books&amp;AN=00139968$&amp;XPATH=/PG(0)&amp;EPUB=Y")</f>
        <v>http://ovidsp.ovid.com/ovidweb.cgi?T=JS&amp;NEWS=n&amp;CSC=Y&amp;PAGE=booktext&amp;D=books&amp;AN=00139968$&amp;XPATH=/PG(0)&amp;EPUB=Y</v>
      </c>
      <c r="G776" t="s">
        <v>2139</v>
      </c>
      <c r="H776" t="s">
        <v>2974</v>
      </c>
      <c r="I776">
        <v>1206726</v>
      </c>
      <c r="J776" t="s">
        <v>3263</v>
      </c>
      <c r="K776" t="s">
        <v>2806</v>
      </c>
    </row>
    <row r="777" spans="1:11" x14ac:dyDescent="0.3">
      <c r="A777" t="s">
        <v>4109</v>
      </c>
      <c r="B777" t="s">
        <v>1005</v>
      </c>
      <c r="C777" t="s">
        <v>307</v>
      </c>
      <c r="D777" t="s">
        <v>4111</v>
      </c>
      <c r="E777" t="s">
        <v>404</v>
      </c>
      <c r="F777" s="1" t="str">
        <f>HYPERLINK("http://ovidsp.ovid.com/ovidweb.cgi?T=JS&amp;NEWS=n&amp;CSC=Y&amp;PAGE=booktext&amp;D=books&amp;AN=01429609$&amp;XPATH=/PG(0)&amp;EPUB=Y","http://ovidsp.ovid.com/ovidweb.cgi?T=JS&amp;NEWS=n&amp;CSC=Y&amp;PAGE=booktext&amp;D=books&amp;AN=01429609$&amp;XPATH=/PG(0)&amp;EPUB=Y")</f>
        <v>http://ovidsp.ovid.com/ovidweb.cgi?T=JS&amp;NEWS=n&amp;CSC=Y&amp;PAGE=booktext&amp;D=books&amp;AN=01429609$&amp;XPATH=/PG(0)&amp;EPUB=Y</v>
      </c>
      <c r="G777" t="s">
        <v>2139</v>
      </c>
      <c r="H777" t="s">
        <v>2974</v>
      </c>
      <c r="I777">
        <v>1206726</v>
      </c>
      <c r="J777" t="s">
        <v>3263</v>
      </c>
      <c r="K777" t="s">
        <v>1697</v>
      </c>
    </row>
    <row r="778" spans="1:11" x14ac:dyDescent="0.3">
      <c r="A778" t="s">
        <v>3009</v>
      </c>
      <c r="B778" t="s">
        <v>2261</v>
      </c>
      <c r="C778" t="s">
        <v>519</v>
      </c>
      <c r="D778" t="s">
        <v>4111</v>
      </c>
      <c r="E778" t="s">
        <v>1104</v>
      </c>
      <c r="F778" s="1" t="str">
        <f>HYPERLINK("http://ovidsp.ovid.com/ovidweb.cgi?T=JS&amp;NEWS=n&amp;CSC=Y&amp;PAGE=booktext&amp;D=books&amp;AN=00139969$&amp;XPATH=/PG(0)&amp;EPUB=Y","http://ovidsp.ovid.com/ovidweb.cgi?T=JS&amp;NEWS=n&amp;CSC=Y&amp;PAGE=booktext&amp;D=books&amp;AN=00139969$&amp;XPATH=/PG(0)&amp;EPUB=Y")</f>
        <v>http://ovidsp.ovid.com/ovidweb.cgi?T=JS&amp;NEWS=n&amp;CSC=Y&amp;PAGE=booktext&amp;D=books&amp;AN=00139969$&amp;XPATH=/PG(0)&amp;EPUB=Y</v>
      </c>
      <c r="G778" t="s">
        <v>2139</v>
      </c>
      <c r="H778" t="s">
        <v>2974</v>
      </c>
      <c r="I778">
        <v>1206726</v>
      </c>
      <c r="J778" t="s">
        <v>3263</v>
      </c>
      <c r="K778" t="s">
        <v>2501</v>
      </c>
    </row>
    <row r="779" spans="1:11" x14ac:dyDescent="0.3">
      <c r="A779" t="s">
        <v>434</v>
      </c>
      <c r="B779" t="s">
        <v>640</v>
      </c>
      <c r="C779" t="s">
        <v>739</v>
      </c>
      <c r="D779" t="s">
        <v>4111</v>
      </c>
      <c r="E779" t="s">
        <v>4250</v>
      </c>
      <c r="F779" s="1" t="str">
        <f>HYPERLINK("http://ovidsp.ovid.com/ovidweb.cgi?T=JS&amp;NEWS=n&amp;CSC=Y&amp;PAGE=booktext&amp;D=books&amp;AN=01382846$&amp;XPATH=/PG(0)&amp;EPUB=Y","http://ovidsp.ovid.com/ovidweb.cgi?T=JS&amp;NEWS=n&amp;CSC=Y&amp;PAGE=booktext&amp;D=books&amp;AN=01382846$&amp;XPATH=/PG(0)&amp;EPUB=Y")</f>
        <v>http://ovidsp.ovid.com/ovidweb.cgi?T=JS&amp;NEWS=n&amp;CSC=Y&amp;PAGE=booktext&amp;D=books&amp;AN=01382846$&amp;XPATH=/PG(0)&amp;EPUB=Y</v>
      </c>
      <c r="G779" t="s">
        <v>2139</v>
      </c>
      <c r="H779" t="s">
        <v>2974</v>
      </c>
      <c r="I779">
        <v>1206726</v>
      </c>
      <c r="J779" t="s">
        <v>3263</v>
      </c>
      <c r="K779" t="s">
        <v>4573</v>
      </c>
    </row>
    <row r="780" spans="1:11" x14ac:dyDescent="0.3">
      <c r="A780" t="s">
        <v>3595</v>
      </c>
      <c r="B780" t="s">
        <v>2760</v>
      </c>
      <c r="C780" t="s">
        <v>1085</v>
      </c>
      <c r="D780" t="s">
        <v>4111</v>
      </c>
      <c r="E780" t="s">
        <v>2223</v>
      </c>
      <c r="F780" s="1" t="str">
        <f>HYPERLINK("http://ovidsp.ovid.com/ovidweb.cgi?T=JS&amp;NEWS=n&amp;CSC=Y&amp;PAGE=booktext&amp;D=books&amp;AN=01382721$&amp;XPATH=/PG(0)&amp;EPUB=Y","http://ovidsp.ovid.com/ovidweb.cgi?T=JS&amp;NEWS=n&amp;CSC=Y&amp;PAGE=booktext&amp;D=books&amp;AN=01382721$&amp;XPATH=/PG(0)&amp;EPUB=Y")</f>
        <v>http://ovidsp.ovid.com/ovidweb.cgi?T=JS&amp;NEWS=n&amp;CSC=Y&amp;PAGE=booktext&amp;D=books&amp;AN=01382721$&amp;XPATH=/PG(0)&amp;EPUB=Y</v>
      </c>
      <c r="G780" t="s">
        <v>2139</v>
      </c>
      <c r="H780" t="s">
        <v>2974</v>
      </c>
      <c r="I780">
        <v>1206726</v>
      </c>
      <c r="J780" t="s">
        <v>3263</v>
      </c>
      <c r="K780" t="s">
        <v>3600</v>
      </c>
    </row>
    <row r="781" spans="1:11" x14ac:dyDescent="0.3">
      <c r="A781" t="s">
        <v>2842</v>
      </c>
      <c r="B781" t="s">
        <v>123</v>
      </c>
      <c r="C781" t="s">
        <v>571</v>
      </c>
      <c r="D781" t="s">
        <v>4111</v>
      </c>
      <c r="E781" t="s">
        <v>2223</v>
      </c>
      <c r="F781" s="1" t="str">
        <f>HYPERLINK("http://ovidsp.ovid.com/ovidweb.cgi?T=JS&amp;NEWS=n&amp;CSC=Y&amp;PAGE=booktext&amp;D=books&amp;AN=01382727$&amp;XPATH=/PG(0)&amp;EPUB=Y","http://ovidsp.ovid.com/ovidweb.cgi?T=JS&amp;NEWS=n&amp;CSC=Y&amp;PAGE=booktext&amp;D=books&amp;AN=01382727$&amp;XPATH=/PG(0)&amp;EPUB=Y")</f>
        <v>http://ovidsp.ovid.com/ovidweb.cgi?T=JS&amp;NEWS=n&amp;CSC=Y&amp;PAGE=booktext&amp;D=books&amp;AN=01382727$&amp;XPATH=/PG(0)&amp;EPUB=Y</v>
      </c>
      <c r="G781" t="s">
        <v>2139</v>
      </c>
      <c r="H781" t="s">
        <v>2974</v>
      </c>
      <c r="I781">
        <v>1206726</v>
      </c>
      <c r="J781" t="s">
        <v>3263</v>
      </c>
      <c r="K781" t="s">
        <v>785</v>
      </c>
    </row>
    <row r="782" spans="1:11" x14ac:dyDescent="0.3">
      <c r="A782" t="s">
        <v>2144</v>
      </c>
      <c r="B782" t="s">
        <v>3813</v>
      </c>
      <c r="C782" t="s">
        <v>76</v>
      </c>
      <c r="D782" t="s">
        <v>4111</v>
      </c>
      <c r="E782" t="s">
        <v>2223</v>
      </c>
      <c r="F782" s="1" t="str">
        <f>HYPERLINK("http://ovidsp.ovid.com/ovidweb.cgi?T=JS&amp;NEWS=n&amp;CSC=Y&amp;PAGE=booktext&amp;D=books&amp;AN=01382726$&amp;XPATH=/PG(0)&amp;EPUB=Y","http://ovidsp.ovid.com/ovidweb.cgi?T=JS&amp;NEWS=n&amp;CSC=Y&amp;PAGE=booktext&amp;D=books&amp;AN=01382726$&amp;XPATH=/PG(0)&amp;EPUB=Y")</f>
        <v>http://ovidsp.ovid.com/ovidweb.cgi?T=JS&amp;NEWS=n&amp;CSC=Y&amp;PAGE=booktext&amp;D=books&amp;AN=01382726$&amp;XPATH=/PG(0)&amp;EPUB=Y</v>
      </c>
      <c r="G782" t="s">
        <v>2139</v>
      </c>
      <c r="H782" t="s">
        <v>2974</v>
      </c>
      <c r="I782">
        <v>1206726</v>
      </c>
      <c r="J782" t="s">
        <v>3263</v>
      </c>
      <c r="K782" t="s">
        <v>3275</v>
      </c>
    </row>
    <row r="783" spans="1:11" x14ac:dyDescent="0.3">
      <c r="A783" t="s">
        <v>466</v>
      </c>
      <c r="B783" t="s">
        <v>4307</v>
      </c>
      <c r="C783" t="s">
        <v>3731</v>
      </c>
      <c r="D783" t="s">
        <v>4111</v>
      </c>
      <c r="E783" t="s">
        <v>2223</v>
      </c>
      <c r="F783" s="1" t="str">
        <f>HYPERLINK("http://ovidsp.ovid.com/ovidweb.cgi?T=JS&amp;NEWS=n&amp;CSC=Y&amp;PAGE=booktext&amp;D=books&amp;AN=01382730$&amp;XPATH=/PG(0)&amp;EPUB=Y","http://ovidsp.ovid.com/ovidweb.cgi?T=JS&amp;NEWS=n&amp;CSC=Y&amp;PAGE=booktext&amp;D=books&amp;AN=01382730$&amp;XPATH=/PG(0)&amp;EPUB=Y")</f>
        <v>http://ovidsp.ovid.com/ovidweb.cgi?T=JS&amp;NEWS=n&amp;CSC=Y&amp;PAGE=booktext&amp;D=books&amp;AN=01382730$&amp;XPATH=/PG(0)&amp;EPUB=Y</v>
      </c>
      <c r="G783" t="s">
        <v>2139</v>
      </c>
      <c r="H783" t="s">
        <v>2974</v>
      </c>
      <c r="I783">
        <v>1206726</v>
      </c>
      <c r="J783" t="s">
        <v>3263</v>
      </c>
      <c r="K783" t="s">
        <v>2084</v>
      </c>
    </row>
    <row r="784" spans="1:11" x14ac:dyDescent="0.3">
      <c r="A784" t="s">
        <v>2281</v>
      </c>
      <c r="B784" t="s">
        <v>4122</v>
      </c>
      <c r="C784" t="s">
        <v>983</v>
      </c>
      <c r="D784" t="s">
        <v>4111</v>
      </c>
      <c r="E784" t="s">
        <v>2223</v>
      </c>
      <c r="F784" s="1" t="str">
        <f>HYPERLINK("http://ovidsp.ovid.com/ovidweb.cgi?T=JS&amp;NEWS=n&amp;CSC=Y&amp;PAGE=booktext&amp;D=books&amp;AN=01382729$&amp;XPATH=/PG(0)&amp;EPUB=Y","http://ovidsp.ovid.com/ovidweb.cgi?T=JS&amp;NEWS=n&amp;CSC=Y&amp;PAGE=booktext&amp;D=books&amp;AN=01382729$&amp;XPATH=/PG(0)&amp;EPUB=Y")</f>
        <v>http://ovidsp.ovid.com/ovidweb.cgi?T=JS&amp;NEWS=n&amp;CSC=Y&amp;PAGE=booktext&amp;D=books&amp;AN=01382729$&amp;XPATH=/PG(0)&amp;EPUB=Y</v>
      </c>
      <c r="G784" t="s">
        <v>2139</v>
      </c>
      <c r="H784" t="s">
        <v>2974</v>
      </c>
      <c r="I784">
        <v>1206726</v>
      </c>
      <c r="J784" t="s">
        <v>3263</v>
      </c>
      <c r="K784" t="s">
        <v>979</v>
      </c>
    </row>
    <row r="785" spans="1:11" x14ac:dyDescent="0.3">
      <c r="A785" t="s">
        <v>874</v>
      </c>
      <c r="B785" t="s">
        <v>3166</v>
      </c>
      <c r="C785" t="s">
        <v>2206</v>
      </c>
      <c r="D785" t="s">
        <v>4111</v>
      </c>
      <c r="E785" t="s">
        <v>404</v>
      </c>
      <c r="F785" s="1" t="str">
        <f>HYPERLINK("http://ovidsp.ovid.com/ovidweb.cgi?T=JS&amp;NEWS=n&amp;CSC=Y&amp;PAGE=booktext&amp;D=books&amp;AN=01382717$&amp;XPATH=/PG(0)&amp;EPUB=Y","http://ovidsp.ovid.com/ovidweb.cgi?T=JS&amp;NEWS=n&amp;CSC=Y&amp;PAGE=booktext&amp;D=books&amp;AN=01382717$&amp;XPATH=/PG(0)&amp;EPUB=Y")</f>
        <v>http://ovidsp.ovid.com/ovidweb.cgi?T=JS&amp;NEWS=n&amp;CSC=Y&amp;PAGE=booktext&amp;D=books&amp;AN=01382717$&amp;XPATH=/PG(0)&amp;EPUB=Y</v>
      </c>
      <c r="G785" t="s">
        <v>2139</v>
      </c>
      <c r="H785" t="s">
        <v>2974</v>
      </c>
      <c r="I785">
        <v>1206726</v>
      </c>
      <c r="J785" t="s">
        <v>3263</v>
      </c>
      <c r="K785" t="s">
        <v>1608</v>
      </c>
    </row>
    <row r="786" spans="1:11" x14ac:dyDescent="0.3">
      <c r="A786" t="s">
        <v>874</v>
      </c>
      <c r="B786" t="s">
        <v>1931</v>
      </c>
      <c r="C786" t="s">
        <v>1039</v>
      </c>
      <c r="D786" t="s">
        <v>4111</v>
      </c>
      <c r="E786" t="s">
        <v>1104</v>
      </c>
      <c r="F786" s="1" t="str">
        <f>HYPERLINK("http://ovidsp.ovid.com/ovidweb.cgi?T=JS&amp;NEWS=n&amp;CSC=Y&amp;PAGE=booktext&amp;D=books&amp;AN=01648001$&amp;XPATH=/PG(0)&amp;EPUB=Y","http://ovidsp.ovid.com/ovidweb.cgi?T=JS&amp;NEWS=n&amp;CSC=Y&amp;PAGE=booktext&amp;D=books&amp;AN=01648001$&amp;XPATH=/PG(0)&amp;EPUB=Y")</f>
        <v>http://ovidsp.ovid.com/ovidweb.cgi?T=JS&amp;NEWS=n&amp;CSC=Y&amp;PAGE=booktext&amp;D=books&amp;AN=01648001$&amp;XPATH=/PG(0)&amp;EPUB=Y</v>
      </c>
      <c r="G786" t="s">
        <v>2139</v>
      </c>
      <c r="H786" t="s">
        <v>2974</v>
      </c>
      <c r="I786">
        <v>1206726</v>
      </c>
      <c r="J786" t="s">
        <v>3263</v>
      </c>
      <c r="K786" t="s">
        <v>4735</v>
      </c>
    </row>
    <row r="787" spans="1:11" x14ac:dyDescent="0.3">
      <c r="A787" t="s">
        <v>1017</v>
      </c>
      <c r="B787" t="s">
        <v>2278</v>
      </c>
      <c r="C787" t="s">
        <v>300</v>
      </c>
      <c r="D787" t="s">
        <v>4111</v>
      </c>
      <c r="E787" t="s">
        <v>2223</v>
      </c>
      <c r="F787" s="1" t="str">
        <f>HYPERLINK("http://ovidsp.ovid.com/ovidweb.cgi?T=JS&amp;NEWS=n&amp;CSC=Y&amp;PAGE=booktext&amp;D=books&amp;AN=01382833$&amp;XPATH=/PG(0)&amp;EPUB=Y","http://ovidsp.ovid.com/ovidweb.cgi?T=JS&amp;NEWS=n&amp;CSC=Y&amp;PAGE=booktext&amp;D=books&amp;AN=01382833$&amp;XPATH=/PG(0)&amp;EPUB=Y")</f>
        <v>http://ovidsp.ovid.com/ovidweb.cgi?T=JS&amp;NEWS=n&amp;CSC=Y&amp;PAGE=booktext&amp;D=books&amp;AN=01382833$&amp;XPATH=/PG(0)&amp;EPUB=Y</v>
      </c>
      <c r="G787" t="s">
        <v>2139</v>
      </c>
      <c r="H787" t="s">
        <v>2974</v>
      </c>
      <c r="I787">
        <v>1206726</v>
      </c>
      <c r="J787" t="s">
        <v>3263</v>
      </c>
      <c r="K787" t="s">
        <v>4345</v>
      </c>
    </row>
    <row r="788" spans="1:11" x14ac:dyDescent="0.3">
      <c r="A788" t="s">
        <v>1251</v>
      </c>
      <c r="B788" t="s">
        <v>3737</v>
      </c>
      <c r="C788" t="s">
        <v>2279</v>
      </c>
      <c r="D788" t="s">
        <v>4111</v>
      </c>
      <c r="E788" t="s">
        <v>3051</v>
      </c>
      <c r="F788" s="1" t="str">
        <f>HYPERLINK("http://ovidsp.ovid.com/ovidweb.cgi?T=JS&amp;NEWS=n&amp;CSC=Y&amp;PAGE=booktext&amp;D=books&amp;AN=00139970$&amp;XPATH=/PG(0)&amp;EPUB=Y","http://ovidsp.ovid.com/ovidweb.cgi?T=JS&amp;NEWS=n&amp;CSC=Y&amp;PAGE=booktext&amp;D=books&amp;AN=00139970$&amp;XPATH=/PG(0)&amp;EPUB=Y")</f>
        <v>http://ovidsp.ovid.com/ovidweb.cgi?T=JS&amp;NEWS=n&amp;CSC=Y&amp;PAGE=booktext&amp;D=books&amp;AN=00139970$&amp;XPATH=/PG(0)&amp;EPUB=Y</v>
      </c>
      <c r="G788" t="s">
        <v>2139</v>
      </c>
      <c r="H788" t="s">
        <v>2974</v>
      </c>
      <c r="I788">
        <v>1206726</v>
      </c>
      <c r="J788" t="s">
        <v>3263</v>
      </c>
      <c r="K788" t="s">
        <v>365</v>
      </c>
    </row>
    <row r="789" spans="1:11" x14ac:dyDescent="0.3">
      <c r="A789" t="s">
        <v>3004</v>
      </c>
      <c r="B789" t="s">
        <v>380</v>
      </c>
      <c r="C789" t="s">
        <v>3705</v>
      </c>
      <c r="D789" t="s">
        <v>4111</v>
      </c>
      <c r="E789" t="s">
        <v>2223</v>
      </c>
      <c r="F789" s="1" t="str">
        <f>HYPERLINK("http://ovidsp.ovid.com/ovidweb.cgi?T=JS&amp;NEWS=n&amp;CSC=Y&amp;PAGE=booktext&amp;D=books&amp;AN=01382894$&amp;XPATH=/PG(0)&amp;EPUB=Y","http://ovidsp.ovid.com/ovidweb.cgi?T=JS&amp;NEWS=n&amp;CSC=Y&amp;PAGE=booktext&amp;D=books&amp;AN=01382894$&amp;XPATH=/PG(0)&amp;EPUB=Y")</f>
        <v>http://ovidsp.ovid.com/ovidweb.cgi?T=JS&amp;NEWS=n&amp;CSC=Y&amp;PAGE=booktext&amp;D=books&amp;AN=01382894$&amp;XPATH=/PG(0)&amp;EPUB=Y</v>
      </c>
      <c r="G789" t="s">
        <v>2139</v>
      </c>
      <c r="H789" t="s">
        <v>2974</v>
      </c>
      <c r="I789">
        <v>1206726</v>
      </c>
      <c r="J789" t="s">
        <v>3263</v>
      </c>
      <c r="K789" t="s">
        <v>1215</v>
      </c>
    </row>
    <row r="790" spans="1:11" x14ac:dyDescent="0.3">
      <c r="A790" t="s">
        <v>4658</v>
      </c>
      <c r="B790" t="s">
        <v>3896</v>
      </c>
      <c r="C790" t="s">
        <v>2325</v>
      </c>
      <c r="D790" t="s">
        <v>4111</v>
      </c>
      <c r="E790" t="s">
        <v>2223</v>
      </c>
      <c r="F790" s="1" t="str">
        <f>HYPERLINK("http://ovidsp.ovid.com/ovidweb.cgi?T=JS&amp;NEWS=n&amp;CSC=Y&amp;PAGE=booktext&amp;D=books&amp;AN=01382506$&amp;XPATH=/PG(0)&amp;EPUB=Y","http://ovidsp.ovid.com/ovidweb.cgi?T=JS&amp;NEWS=n&amp;CSC=Y&amp;PAGE=booktext&amp;D=books&amp;AN=01382506$&amp;XPATH=/PG(0)&amp;EPUB=Y")</f>
        <v>http://ovidsp.ovid.com/ovidweb.cgi?T=JS&amp;NEWS=n&amp;CSC=Y&amp;PAGE=booktext&amp;D=books&amp;AN=01382506$&amp;XPATH=/PG(0)&amp;EPUB=Y</v>
      </c>
      <c r="G790" t="s">
        <v>2139</v>
      </c>
      <c r="H790" t="s">
        <v>2974</v>
      </c>
      <c r="I790">
        <v>1206726</v>
      </c>
      <c r="J790" t="s">
        <v>3263</v>
      </c>
      <c r="K790" t="s">
        <v>2628</v>
      </c>
    </row>
    <row r="791" spans="1:11" x14ac:dyDescent="0.3">
      <c r="A791" t="s">
        <v>1538</v>
      </c>
      <c r="B791" t="s">
        <v>1027</v>
      </c>
      <c r="C791" t="s">
        <v>3171</v>
      </c>
      <c r="D791" t="s">
        <v>4111</v>
      </c>
      <c r="E791" t="s">
        <v>2223</v>
      </c>
      <c r="F791" s="1" t="str">
        <f>HYPERLINK("http://ovidsp.ovid.com/ovidweb.cgi?T=JS&amp;NEWS=n&amp;CSC=Y&amp;PAGE=booktext&amp;D=books&amp;AN=01273169$&amp;XPATH=/PG(0)&amp;EPUB=Y","http://ovidsp.ovid.com/ovidweb.cgi?T=JS&amp;NEWS=n&amp;CSC=Y&amp;PAGE=booktext&amp;D=books&amp;AN=01273169$&amp;XPATH=/PG(0)&amp;EPUB=Y")</f>
        <v>http://ovidsp.ovid.com/ovidweb.cgi?T=JS&amp;NEWS=n&amp;CSC=Y&amp;PAGE=booktext&amp;D=books&amp;AN=01273169$&amp;XPATH=/PG(0)&amp;EPUB=Y</v>
      </c>
      <c r="G791" t="s">
        <v>2139</v>
      </c>
      <c r="H791" t="s">
        <v>2974</v>
      </c>
      <c r="I791">
        <v>1206726</v>
      </c>
      <c r="J791" t="s">
        <v>3263</v>
      </c>
      <c r="K791" t="s">
        <v>2583</v>
      </c>
    </row>
    <row r="792" spans="1:11" x14ac:dyDescent="0.3">
      <c r="A792" t="s">
        <v>2956</v>
      </c>
      <c r="B792" t="s">
        <v>4595</v>
      </c>
      <c r="C792" t="s">
        <v>216</v>
      </c>
      <c r="D792" t="s">
        <v>4111</v>
      </c>
      <c r="E792" t="s">
        <v>2223</v>
      </c>
      <c r="F792" s="1" t="str">
        <f>HYPERLINK("http://ovidsp.ovid.com/ovidweb.cgi?T=JS&amp;NEWS=n&amp;CSC=Y&amp;PAGE=booktext&amp;D=books&amp;AN=01382774$&amp;XPATH=/PG(0)&amp;EPUB=Y","http://ovidsp.ovid.com/ovidweb.cgi?T=JS&amp;NEWS=n&amp;CSC=Y&amp;PAGE=booktext&amp;D=books&amp;AN=01382774$&amp;XPATH=/PG(0)&amp;EPUB=Y")</f>
        <v>http://ovidsp.ovid.com/ovidweb.cgi?T=JS&amp;NEWS=n&amp;CSC=Y&amp;PAGE=booktext&amp;D=books&amp;AN=01382774$&amp;XPATH=/PG(0)&amp;EPUB=Y</v>
      </c>
      <c r="G792" t="s">
        <v>2139</v>
      </c>
      <c r="H792" t="s">
        <v>2974</v>
      </c>
      <c r="I792">
        <v>1206726</v>
      </c>
      <c r="J792" t="s">
        <v>3263</v>
      </c>
      <c r="K792" t="s">
        <v>2908</v>
      </c>
    </row>
    <row r="793" spans="1:11" x14ac:dyDescent="0.3">
      <c r="A793" t="s">
        <v>1586</v>
      </c>
      <c r="B793" t="s">
        <v>3126</v>
      </c>
      <c r="C793" t="s">
        <v>1659</v>
      </c>
      <c r="D793" t="s">
        <v>4111</v>
      </c>
      <c r="E793" t="s">
        <v>2223</v>
      </c>
      <c r="F793" s="1" t="str">
        <f>HYPERLINK("http://ovidsp.ovid.com/ovidweb.cgi?T=JS&amp;NEWS=n&amp;CSC=Y&amp;PAGE=booktext&amp;D=books&amp;AN=01382775$&amp;XPATH=/PG(0)&amp;EPUB=Y","http://ovidsp.ovid.com/ovidweb.cgi?T=JS&amp;NEWS=n&amp;CSC=Y&amp;PAGE=booktext&amp;D=books&amp;AN=01382775$&amp;XPATH=/PG(0)&amp;EPUB=Y")</f>
        <v>http://ovidsp.ovid.com/ovidweb.cgi?T=JS&amp;NEWS=n&amp;CSC=Y&amp;PAGE=booktext&amp;D=books&amp;AN=01382775$&amp;XPATH=/PG(0)&amp;EPUB=Y</v>
      </c>
      <c r="G793" t="s">
        <v>2139</v>
      </c>
      <c r="H793" t="s">
        <v>2974</v>
      </c>
      <c r="I793">
        <v>1206726</v>
      </c>
      <c r="J793" t="s">
        <v>3263</v>
      </c>
      <c r="K793" t="s">
        <v>3841</v>
      </c>
    </row>
    <row r="794" spans="1:11" x14ac:dyDescent="0.3">
      <c r="A794" t="s">
        <v>520</v>
      </c>
      <c r="B794" t="s">
        <v>4431</v>
      </c>
      <c r="C794" t="s">
        <v>3926</v>
      </c>
      <c r="D794" t="s">
        <v>4111</v>
      </c>
      <c r="E794" t="s">
        <v>2223</v>
      </c>
      <c r="F794" s="1" t="str">
        <f>HYPERLINK("http://ovidsp.ovid.com/ovidweb.cgi?T=JS&amp;NEWS=n&amp;CSC=Y&amp;PAGE=booktext&amp;D=books&amp;AN=01382776$&amp;XPATH=/PG(0)&amp;EPUB=Y","http://ovidsp.ovid.com/ovidweb.cgi?T=JS&amp;NEWS=n&amp;CSC=Y&amp;PAGE=booktext&amp;D=books&amp;AN=01382776$&amp;XPATH=/PG(0)&amp;EPUB=Y")</f>
        <v>http://ovidsp.ovid.com/ovidweb.cgi?T=JS&amp;NEWS=n&amp;CSC=Y&amp;PAGE=booktext&amp;D=books&amp;AN=01382776$&amp;XPATH=/PG(0)&amp;EPUB=Y</v>
      </c>
      <c r="G794" t="s">
        <v>2139</v>
      </c>
      <c r="H794" t="s">
        <v>2974</v>
      </c>
      <c r="I794">
        <v>1206726</v>
      </c>
      <c r="J794" t="s">
        <v>3263</v>
      </c>
      <c r="K794" t="s">
        <v>4729</v>
      </c>
    </row>
    <row r="795" spans="1:11" x14ac:dyDescent="0.3">
      <c r="A795" t="s">
        <v>664</v>
      </c>
      <c r="B795" t="s">
        <v>3775</v>
      </c>
      <c r="C795" t="s">
        <v>4696</v>
      </c>
      <c r="D795" t="s">
        <v>4111</v>
      </c>
      <c r="E795" t="s">
        <v>2223</v>
      </c>
      <c r="F795" s="1" t="str">
        <f>HYPERLINK("http://ovidsp.ovid.com/ovidweb.cgi?T=JS&amp;NEWS=n&amp;CSC=Y&amp;PAGE=booktext&amp;D=books&amp;AN=01382773$&amp;XPATH=/PG(0)&amp;EPUB=Y","http://ovidsp.ovid.com/ovidweb.cgi?T=JS&amp;NEWS=n&amp;CSC=Y&amp;PAGE=booktext&amp;D=books&amp;AN=01382773$&amp;XPATH=/PG(0)&amp;EPUB=Y")</f>
        <v>http://ovidsp.ovid.com/ovidweb.cgi?T=JS&amp;NEWS=n&amp;CSC=Y&amp;PAGE=booktext&amp;D=books&amp;AN=01382773$&amp;XPATH=/PG(0)&amp;EPUB=Y</v>
      </c>
      <c r="G795" t="s">
        <v>2139</v>
      </c>
      <c r="H795" t="s">
        <v>2974</v>
      </c>
      <c r="I795">
        <v>1206726</v>
      </c>
      <c r="J795" t="s">
        <v>3263</v>
      </c>
      <c r="K795" t="s">
        <v>1006</v>
      </c>
    </row>
    <row r="796" spans="1:11" x14ac:dyDescent="0.3">
      <c r="A796" t="s">
        <v>2983</v>
      </c>
      <c r="B796" t="s">
        <v>1489</v>
      </c>
      <c r="C796" t="s">
        <v>723</v>
      </c>
      <c r="D796" t="s">
        <v>4111</v>
      </c>
      <c r="E796" t="s">
        <v>1595</v>
      </c>
      <c r="F796" s="1" t="str">
        <f>HYPERLINK("http://ovidsp.ovid.com/ovidweb.cgi?T=JS&amp;NEWS=n&amp;CSC=Y&amp;PAGE=booktext&amp;D=books&amp;AN=01787374$&amp;XPATH=/PG(0)&amp;EPUB=Y","http://ovidsp.ovid.com/ovidweb.cgi?T=JS&amp;NEWS=n&amp;CSC=Y&amp;PAGE=booktext&amp;D=books&amp;AN=01787374$&amp;XPATH=/PG(0)&amp;EPUB=Y")</f>
        <v>http://ovidsp.ovid.com/ovidweb.cgi?T=JS&amp;NEWS=n&amp;CSC=Y&amp;PAGE=booktext&amp;D=books&amp;AN=01787374$&amp;XPATH=/PG(0)&amp;EPUB=Y</v>
      </c>
      <c r="G796" t="s">
        <v>2139</v>
      </c>
      <c r="H796" t="s">
        <v>2974</v>
      </c>
      <c r="I796">
        <v>1206726</v>
      </c>
      <c r="J796" t="s">
        <v>3263</v>
      </c>
      <c r="K796" t="s">
        <v>3529</v>
      </c>
    </row>
    <row r="797" spans="1:11" x14ac:dyDescent="0.3">
      <c r="A797" t="s">
        <v>2983</v>
      </c>
      <c r="B797" t="s">
        <v>3912</v>
      </c>
      <c r="C797" t="s">
        <v>3311</v>
      </c>
      <c r="D797" t="s">
        <v>4111</v>
      </c>
      <c r="E797" t="s">
        <v>3387</v>
      </c>
      <c r="F797" s="1" t="str">
        <f>HYPERLINK("http://ovidsp.ovid.com/ovidweb.cgi?T=JS&amp;NEWS=n&amp;CSC=Y&amp;PAGE=booktext&amp;D=books&amp;AN=01436933$&amp;XPATH=/PG(0)&amp;EPUB=Y","http://ovidsp.ovid.com/ovidweb.cgi?T=JS&amp;NEWS=n&amp;CSC=Y&amp;PAGE=booktext&amp;D=books&amp;AN=01436933$&amp;XPATH=/PG(0)&amp;EPUB=Y")</f>
        <v>http://ovidsp.ovid.com/ovidweb.cgi?T=JS&amp;NEWS=n&amp;CSC=Y&amp;PAGE=booktext&amp;D=books&amp;AN=01436933$&amp;XPATH=/PG(0)&amp;EPUB=Y</v>
      </c>
      <c r="G797" t="s">
        <v>2139</v>
      </c>
      <c r="H797" t="s">
        <v>2974</v>
      </c>
      <c r="I797">
        <v>1206726</v>
      </c>
      <c r="J797" t="s">
        <v>3263</v>
      </c>
      <c r="K797" t="s">
        <v>10</v>
      </c>
    </row>
    <row r="798" spans="1:11" x14ac:dyDescent="0.3">
      <c r="A798" t="s">
        <v>3540</v>
      </c>
      <c r="B798" t="s">
        <v>2591</v>
      </c>
      <c r="C798" t="s">
        <v>355</v>
      </c>
      <c r="D798" t="s">
        <v>4111</v>
      </c>
      <c r="E798" t="s">
        <v>404</v>
      </c>
      <c r="F798" s="1" t="str">
        <f>HYPERLINK("http://ovidsp.ovid.com/ovidweb.cgi?T=JS&amp;NEWS=n&amp;CSC=Y&amp;PAGE=booktext&amp;D=books&amp;AN=01256973$&amp;XPATH=/PG(0)&amp;EPUB=Y","http://ovidsp.ovid.com/ovidweb.cgi?T=JS&amp;NEWS=n&amp;CSC=Y&amp;PAGE=booktext&amp;D=books&amp;AN=01256973$&amp;XPATH=/PG(0)&amp;EPUB=Y")</f>
        <v>http://ovidsp.ovid.com/ovidweb.cgi?T=JS&amp;NEWS=n&amp;CSC=Y&amp;PAGE=booktext&amp;D=books&amp;AN=01256973$&amp;XPATH=/PG(0)&amp;EPUB=Y</v>
      </c>
      <c r="G798" t="s">
        <v>2139</v>
      </c>
      <c r="H798" t="s">
        <v>2974</v>
      </c>
      <c r="I798">
        <v>1206726</v>
      </c>
      <c r="J798" t="s">
        <v>3263</v>
      </c>
      <c r="K798" t="s">
        <v>1941</v>
      </c>
    </row>
    <row r="799" spans="1:11" x14ac:dyDescent="0.3">
      <c r="A799" t="s">
        <v>541</v>
      </c>
      <c r="B799" t="s">
        <v>3706</v>
      </c>
      <c r="C799" t="s">
        <v>3326</v>
      </c>
      <c r="D799" t="s">
        <v>4111</v>
      </c>
      <c r="E799" t="s">
        <v>404</v>
      </c>
      <c r="F799" s="1" t="str">
        <f>HYPERLINK("http://ovidsp.ovid.com/ovidweb.cgi?T=JS&amp;NEWS=n&amp;CSC=Y&amp;PAGE=booktext&amp;D=books&amp;AN=01382896$&amp;XPATH=/PG(0)&amp;EPUB=Y","http://ovidsp.ovid.com/ovidweb.cgi?T=JS&amp;NEWS=n&amp;CSC=Y&amp;PAGE=booktext&amp;D=books&amp;AN=01382896$&amp;XPATH=/PG(0)&amp;EPUB=Y")</f>
        <v>http://ovidsp.ovid.com/ovidweb.cgi?T=JS&amp;NEWS=n&amp;CSC=Y&amp;PAGE=booktext&amp;D=books&amp;AN=01382896$&amp;XPATH=/PG(0)&amp;EPUB=Y</v>
      </c>
      <c r="G799" t="s">
        <v>2139</v>
      </c>
      <c r="H799" t="s">
        <v>2974</v>
      </c>
      <c r="I799">
        <v>1206726</v>
      </c>
      <c r="J799" t="s">
        <v>3263</v>
      </c>
      <c r="K799" t="s">
        <v>4480</v>
      </c>
    </row>
    <row r="800" spans="1:11" x14ac:dyDescent="0.3">
      <c r="A800" t="s">
        <v>4367</v>
      </c>
      <c r="B800" t="s">
        <v>1360</v>
      </c>
      <c r="C800" t="s">
        <v>2184</v>
      </c>
      <c r="D800" t="s">
        <v>4111</v>
      </c>
      <c r="E800" t="s">
        <v>2876</v>
      </c>
      <c r="F800" s="1" t="str">
        <f>HYPERLINK("http://ovidsp.ovid.com/ovidweb.cgi?T=JS&amp;NEWS=n&amp;CSC=Y&amp;PAGE=booktext&amp;D=books&amp;AN=01382489$&amp;XPATH=/PG(0)&amp;EPUB=Y","http://ovidsp.ovid.com/ovidweb.cgi?T=JS&amp;NEWS=n&amp;CSC=Y&amp;PAGE=booktext&amp;D=books&amp;AN=01382489$&amp;XPATH=/PG(0)&amp;EPUB=Y")</f>
        <v>http://ovidsp.ovid.com/ovidweb.cgi?T=JS&amp;NEWS=n&amp;CSC=Y&amp;PAGE=booktext&amp;D=books&amp;AN=01382489$&amp;XPATH=/PG(0)&amp;EPUB=Y</v>
      </c>
      <c r="G800" t="s">
        <v>2139</v>
      </c>
      <c r="H800" t="s">
        <v>2974</v>
      </c>
      <c r="I800">
        <v>1206726</v>
      </c>
      <c r="J800" t="s">
        <v>3263</v>
      </c>
      <c r="K800" t="s">
        <v>1224</v>
      </c>
    </row>
    <row r="801" spans="1:11" x14ac:dyDescent="0.3">
      <c r="A801" t="s">
        <v>2065</v>
      </c>
      <c r="B801" t="s">
        <v>2907</v>
      </c>
      <c r="C801" t="s">
        <v>246</v>
      </c>
      <c r="D801" t="s">
        <v>4111</v>
      </c>
      <c r="E801" t="s">
        <v>1104</v>
      </c>
      <c r="F801" s="1" t="str">
        <f>HYPERLINK("http://ovidsp.ovid.com/ovidweb.cgi?T=JS&amp;NEWS=n&amp;CSC=Y&amp;PAGE=booktext&amp;D=books&amp;AN=01382626$&amp;XPATH=/PG(0)&amp;EPUB=Y","http://ovidsp.ovid.com/ovidweb.cgi?T=JS&amp;NEWS=n&amp;CSC=Y&amp;PAGE=booktext&amp;D=books&amp;AN=01382626$&amp;XPATH=/PG(0)&amp;EPUB=Y")</f>
        <v>http://ovidsp.ovid.com/ovidweb.cgi?T=JS&amp;NEWS=n&amp;CSC=Y&amp;PAGE=booktext&amp;D=books&amp;AN=01382626$&amp;XPATH=/PG(0)&amp;EPUB=Y</v>
      </c>
      <c r="G801" t="s">
        <v>2139</v>
      </c>
      <c r="H801" t="s">
        <v>2974</v>
      </c>
      <c r="I801">
        <v>1206726</v>
      </c>
      <c r="J801" t="s">
        <v>3263</v>
      </c>
      <c r="K801" t="s">
        <v>3807</v>
      </c>
    </row>
    <row r="802" spans="1:11" x14ac:dyDescent="0.3">
      <c r="A802" t="s">
        <v>2011</v>
      </c>
      <c r="B802" t="s">
        <v>3019</v>
      </c>
      <c r="C802" t="s">
        <v>1502</v>
      </c>
      <c r="D802" t="s">
        <v>4111</v>
      </c>
      <c r="E802" t="s">
        <v>2223</v>
      </c>
      <c r="F802" s="1" t="str">
        <f>HYPERLINK("http://ovidsp.ovid.com/ovidweb.cgi?T=JS&amp;NEWS=n&amp;CSC=Y&amp;PAGE=booktext&amp;D=books&amp;AN=01437397$&amp;XPATH=/PG(0)&amp;EPUB=Y","http://ovidsp.ovid.com/ovidweb.cgi?T=JS&amp;NEWS=n&amp;CSC=Y&amp;PAGE=booktext&amp;D=books&amp;AN=01437397$&amp;XPATH=/PG(0)&amp;EPUB=Y")</f>
        <v>http://ovidsp.ovid.com/ovidweb.cgi?T=JS&amp;NEWS=n&amp;CSC=Y&amp;PAGE=booktext&amp;D=books&amp;AN=01437397$&amp;XPATH=/PG(0)&amp;EPUB=Y</v>
      </c>
      <c r="G802" t="s">
        <v>2139</v>
      </c>
      <c r="H802" t="s">
        <v>2974</v>
      </c>
      <c r="I802">
        <v>1206726</v>
      </c>
      <c r="J802" t="s">
        <v>3263</v>
      </c>
      <c r="K802" t="s">
        <v>3547</v>
      </c>
    </row>
    <row r="803" spans="1:11" x14ac:dyDescent="0.3">
      <c r="A803" t="s">
        <v>4650</v>
      </c>
      <c r="B803" t="s">
        <v>4196</v>
      </c>
      <c r="C803" t="s">
        <v>90</v>
      </c>
      <c r="D803" t="s">
        <v>4111</v>
      </c>
      <c r="E803" t="s">
        <v>1595</v>
      </c>
      <c r="F803" s="1" t="str">
        <f>HYPERLINK("http://ovidsp.ovid.com/ovidweb.cgi?T=JS&amp;NEWS=n&amp;CSC=Y&amp;PAGE=booktext&amp;D=books&amp;AN=01260173$&amp;XPATH=/PG(0)&amp;EPUB=Y","http://ovidsp.ovid.com/ovidweb.cgi?T=JS&amp;NEWS=n&amp;CSC=Y&amp;PAGE=booktext&amp;D=books&amp;AN=01260173$&amp;XPATH=/PG(0)&amp;EPUB=Y")</f>
        <v>http://ovidsp.ovid.com/ovidweb.cgi?T=JS&amp;NEWS=n&amp;CSC=Y&amp;PAGE=booktext&amp;D=books&amp;AN=01260173$&amp;XPATH=/PG(0)&amp;EPUB=Y</v>
      </c>
      <c r="G803" t="s">
        <v>2139</v>
      </c>
      <c r="H803" t="s">
        <v>2974</v>
      </c>
      <c r="I803">
        <v>1206726</v>
      </c>
      <c r="J803" t="s">
        <v>3263</v>
      </c>
      <c r="K803" t="s">
        <v>3785</v>
      </c>
    </row>
    <row r="804" spans="1:11" x14ac:dyDescent="0.3">
      <c r="A804" t="s">
        <v>1435</v>
      </c>
      <c r="B804" t="s">
        <v>4071</v>
      </c>
      <c r="C804" t="s">
        <v>698</v>
      </c>
      <c r="D804" t="s">
        <v>4111</v>
      </c>
      <c r="E804" t="s">
        <v>2223</v>
      </c>
      <c r="F804" s="1" t="str">
        <f>HYPERLINK("http://ovidsp.ovid.com/ovidweb.cgi?T=JS&amp;NEWS=n&amp;CSC=Y&amp;PAGE=booktext&amp;D=books&amp;AN=01436876$&amp;XPATH=/PG(0)&amp;EPUB=Y","http://ovidsp.ovid.com/ovidweb.cgi?T=JS&amp;NEWS=n&amp;CSC=Y&amp;PAGE=booktext&amp;D=books&amp;AN=01436876$&amp;XPATH=/PG(0)&amp;EPUB=Y")</f>
        <v>http://ovidsp.ovid.com/ovidweb.cgi?T=JS&amp;NEWS=n&amp;CSC=Y&amp;PAGE=booktext&amp;D=books&amp;AN=01436876$&amp;XPATH=/PG(0)&amp;EPUB=Y</v>
      </c>
      <c r="G804" t="s">
        <v>2139</v>
      </c>
      <c r="H804" t="s">
        <v>2974</v>
      </c>
      <c r="I804">
        <v>1206726</v>
      </c>
      <c r="J804" t="s">
        <v>3263</v>
      </c>
      <c r="K804" t="s">
        <v>1670</v>
      </c>
    </row>
    <row r="805" spans="1:11" x14ac:dyDescent="0.3">
      <c r="A805" t="s">
        <v>69</v>
      </c>
      <c r="B805" t="s">
        <v>4417</v>
      </c>
      <c r="C805" t="s">
        <v>1754</v>
      </c>
      <c r="D805" t="s">
        <v>4111</v>
      </c>
      <c r="E805" t="s">
        <v>1104</v>
      </c>
      <c r="F805" s="1" t="str">
        <f>HYPERLINK("http://ovidsp.ovid.com/ovidweb.cgi?T=JS&amp;NEWS=n&amp;CSC=Y&amp;PAGE=booktext&amp;D=books&amp;AN=01260174$&amp;XPATH=/PG(0)&amp;EPUB=Y","http://ovidsp.ovid.com/ovidweb.cgi?T=JS&amp;NEWS=n&amp;CSC=Y&amp;PAGE=booktext&amp;D=books&amp;AN=01260174$&amp;XPATH=/PG(0)&amp;EPUB=Y")</f>
        <v>http://ovidsp.ovid.com/ovidweb.cgi?T=JS&amp;NEWS=n&amp;CSC=Y&amp;PAGE=booktext&amp;D=books&amp;AN=01260174$&amp;XPATH=/PG(0)&amp;EPUB=Y</v>
      </c>
      <c r="G805" t="s">
        <v>2139</v>
      </c>
      <c r="H805" t="s">
        <v>2974</v>
      </c>
      <c r="I805">
        <v>1206726</v>
      </c>
      <c r="J805" t="s">
        <v>3263</v>
      </c>
      <c r="K805" t="s">
        <v>1722</v>
      </c>
    </row>
    <row r="806" spans="1:11" x14ac:dyDescent="0.3">
      <c r="A806" t="s">
        <v>2773</v>
      </c>
      <c r="B806" t="s">
        <v>685</v>
      </c>
      <c r="C806" t="s">
        <v>3653</v>
      </c>
      <c r="D806" t="s">
        <v>4111</v>
      </c>
      <c r="E806" t="s">
        <v>404</v>
      </c>
      <c r="F806" s="1" t="str">
        <f>HYPERLINK("http://ovidsp.ovid.com/ovidweb.cgi?T=JS&amp;NEWS=n&amp;CSC=Y&amp;PAGE=booktext&amp;D=books&amp;AN=01382627$&amp;XPATH=/PG(0)&amp;EPUB=Y","http://ovidsp.ovid.com/ovidweb.cgi?T=JS&amp;NEWS=n&amp;CSC=Y&amp;PAGE=booktext&amp;D=books&amp;AN=01382627$&amp;XPATH=/PG(0)&amp;EPUB=Y")</f>
        <v>http://ovidsp.ovid.com/ovidweb.cgi?T=JS&amp;NEWS=n&amp;CSC=Y&amp;PAGE=booktext&amp;D=books&amp;AN=01382627$&amp;XPATH=/PG(0)&amp;EPUB=Y</v>
      </c>
      <c r="G806" t="s">
        <v>2139</v>
      </c>
      <c r="H806" t="s">
        <v>2974</v>
      </c>
      <c r="I806">
        <v>1206726</v>
      </c>
      <c r="J806" t="s">
        <v>3263</v>
      </c>
      <c r="K806" t="s">
        <v>3478</v>
      </c>
    </row>
    <row r="807" spans="1:11" x14ac:dyDescent="0.3">
      <c r="A807" t="s">
        <v>3031</v>
      </c>
      <c r="B807" t="s">
        <v>573</v>
      </c>
      <c r="C807" t="s">
        <v>2198</v>
      </c>
      <c r="D807" t="s">
        <v>4111</v>
      </c>
      <c r="E807" t="s">
        <v>2223</v>
      </c>
      <c r="F807" s="1" t="str">
        <f>HYPERLINK("http://ovidsp.ovid.com/ovidweb.cgi?T=JS&amp;NEWS=n&amp;CSC=Y&amp;PAGE=booktext&amp;D=books&amp;AN=01382628$&amp;XPATH=/PG(0)&amp;EPUB=Y","http://ovidsp.ovid.com/ovidweb.cgi?T=JS&amp;NEWS=n&amp;CSC=Y&amp;PAGE=booktext&amp;D=books&amp;AN=01382628$&amp;XPATH=/PG(0)&amp;EPUB=Y")</f>
        <v>http://ovidsp.ovid.com/ovidweb.cgi?T=JS&amp;NEWS=n&amp;CSC=Y&amp;PAGE=booktext&amp;D=books&amp;AN=01382628$&amp;XPATH=/PG(0)&amp;EPUB=Y</v>
      </c>
      <c r="G807" t="s">
        <v>2139</v>
      </c>
      <c r="H807" t="s">
        <v>2974</v>
      </c>
      <c r="I807">
        <v>1206726</v>
      </c>
      <c r="J807" t="s">
        <v>3263</v>
      </c>
      <c r="K807" t="s">
        <v>275</v>
      </c>
    </row>
    <row r="808" spans="1:11" x14ac:dyDescent="0.3">
      <c r="A808" t="s">
        <v>1971</v>
      </c>
      <c r="B808" t="s">
        <v>3336</v>
      </c>
      <c r="C808" t="s">
        <v>1371</v>
      </c>
      <c r="D808" t="s">
        <v>4111</v>
      </c>
      <c r="E808" t="s">
        <v>1595</v>
      </c>
      <c r="F808" s="1" t="str">
        <f>HYPERLINK("http://ovidsp.ovid.com/ovidweb.cgi?T=JS&amp;NEWS=n&amp;CSC=Y&amp;PAGE=booktext&amp;D=books&amp;AN=01279710$&amp;XPATH=/PG(0)&amp;EPUB=Y","http://ovidsp.ovid.com/ovidweb.cgi?T=JS&amp;NEWS=n&amp;CSC=Y&amp;PAGE=booktext&amp;D=books&amp;AN=01279710$&amp;XPATH=/PG(0)&amp;EPUB=Y")</f>
        <v>http://ovidsp.ovid.com/ovidweb.cgi?T=JS&amp;NEWS=n&amp;CSC=Y&amp;PAGE=booktext&amp;D=books&amp;AN=01279710$&amp;XPATH=/PG(0)&amp;EPUB=Y</v>
      </c>
      <c r="G808" t="s">
        <v>2139</v>
      </c>
      <c r="H808" t="s">
        <v>2974</v>
      </c>
      <c r="I808">
        <v>1206726</v>
      </c>
      <c r="J808" t="s">
        <v>3263</v>
      </c>
      <c r="K808" t="s">
        <v>1241</v>
      </c>
    </row>
    <row r="809" spans="1:11" x14ac:dyDescent="0.3">
      <c r="A809" t="s">
        <v>809</v>
      </c>
      <c r="B809" t="s">
        <v>3986</v>
      </c>
      <c r="C809" t="s">
        <v>369</v>
      </c>
      <c r="D809" t="s">
        <v>4111</v>
      </c>
      <c r="E809" t="s">
        <v>2876</v>
      </c>
      <c r="F809" s="1" t="str">
        <f>HYPERLINK("http://ovidsp.ovid.com/ovidweb.cgi?T=JS&amp;NEWS=n&amp;CSC=Y&amp;PAGE=booktext&amp;D=books&amp;AN=01279769$&amp;XPATH=/PG(0)&amp;EPUB=Y","http://ovidsp.ovid.com/ovidweb.cgi?T=JS&amp;NEWS=n&amp;CSC=Y&amp;PAGE=booktext&amp;D=books&amp;AN=01279769$&amp;XPATH=/PG(0)&amp;EPUB=Y")</f>
        <v>http://ovidsp.ovid.com/ovidweb.cgi?T=JS&amp;NEWS=n&amp;CSC=Y&amp;PAGE=booktext&amp;D=books&amp;AN=01279769$&amp;XPATH=/PG(0)&amp;EPUB=Y</v>
      </c>
      <c r="G809" t="s">
        <v>2139</v>
      </c>
      <c r="H809" t="s">
        <v>2974</v>
      </c>
      <c r="I809">
        <v>1206726</v>
      </c>
      <c r="J809" t="s">
        <v>3263</v>
      </c>
      <c r="K809" t="s">
        <v>4113</v>
      </c>
    </row>
    <row r="810" spans="1:11" x14ac:dyDescent="0.3">
      <c r="A810" t="s">
        <v>809</v>
      </c>
      <c r="B810" t="s">
        <v>2446</v>
      </c>
      <c r="C810" t="s">
        <v>1304</v>
      </c>
      <c r="D810" t="s">
        <v>4111</v>
      </c>
      <c r="E810" t="s">
        <v>1595</v>
      </c>
      <c r="F810" s="1" t="str">
        <f>HYPERLINK("http://ovidsp.ovid.com/ovidweb.cgi?T=JS&amp;NEWS=n&amp;CSC=Y&amp;PAGE=booktext&amp;D=books&amp;AN=01745867$&amp;XPATH=/PG(0)&amp;EPUB=Y","http://ovidsp.ovid.com/ovidweb.cgi?T=JS&amp;NEWS=n&amp;CSC=Y&amp;PAGE=booktext&amp;D=books&amp;AN=01745867$&amp;XPATH=/PG(0)&amp;EPUB=Y")</f>
        <v>http://ovidsp.ovid.com/ovidweb.cgi?T=JS&amp;NEWS=n&amp;CSC=Y&amp;PAGE=booktext&amp;D=books&amp;AN=01745867$&amp;XPATH=/PG(0)&amp;EPUB=Y</v>
      </c>
      <c r="G810" t="s">
        <v>2139</v>
      </c>
      <c r="H810" t="s">
        <v>2974</v>
      </c>
      <c r="I810">
        <v>1206726</v>
      </c>
      <c r="J810" t="s">
        <v>3263</v>
      </c>
      <c r="K810" t="s">
        <v>3032</v>
      </c>
    </row>
    <row r="811" spans="1:11" x14ac:dyDescent="0.3">
      <c r="A811" t="s">
        <v>809</v>
      </c>
      <c r="B811" t="s">
        <v>1767</v>
      </c>
      <c r="C811" t="s">
        <v>653</v>
      </c>
      <c r="D811" t="s">
        <v>4111</v>
      </c>
      <c r="E811" t="s">
        <v>2970</v>
      </c>
      <c r="F811" s="1" t="str">
        <f>HYPERLINK("http://ovidsp.ovid.com/ovidweb.cgi?T=JS&amp;NEWS=n&amp;CSC=Y&amp;PAGE=booktext&amp;D=books&amp;AN=01857010$&amp;XPATH=/PG(0)&amp;EPUB=Y","http://ovidsp.ovid.com/ovidweb.cgi?T=JS&amp;NEWS=n&amp;CSC=Y&amp;PAGE=booktext&amp;D=books&amp;AN=01857010$&amp;XPATH=/PG(0)&amp;EPUB=Y")</f>
        <v>http://ovidsp.ovid.com/ovidweb.cgi?T=JS&amp;NEWS=n&amp;CSC=Y&amp;PAGE=booktext&amp;D=books&amp;AN=01857010$&amp;XPATH=/PG(0)&amp;EPUB=Y</v>
      </c>
      <c r="G811" t="s">
        <v>2139</v>
      </c>
      <c r="H811" t="s">
        <v>2974</v>
      </c>
      <c r="I811">
        <v>1206726</v>
      </c>
      <c r="J811" t="s">
        <v>3263</v>
      </c>
      <c r="K811" t="s">
        <v>3846</v>
      </c>
    </row>
    <row r="812" spans="1:11" x14ac:dyDescent="0.3">
      <c r="A812" t="s">
        <v>2197</v>
      </c>
      <c r="B812" t="s">
        <v>1392</v>
      </c>
      <c r="C812" t="s">
        <v>351</v>
      </c>
      <c r="D812" t="s">
        <v>4111</v>
      </c>
      <c r="E812" t="s">
        <v>1104</v>
      </c>
      <c r="F812" s="1" t="str">
        <f>HYPERLINK("http://ovidsp.ovid.com/ovidweb.cgi?T=JS&amp;NEWS=n&amp;CSC=Y&amp;PAGE=booktext&amp;D=books&amp;AN=01337295$&amp;XPATH=/PG(0)&amp;EPUB=Y","http://ovidsp.ovid.com/ovidweb.cgi?T=JS&amp;NEWS=n&amp;CSC=Y&amp;PAGE=booktext&amp;D=books&amp;AN=01337295$&amp;XPATH=/PG(0)&amp;EPUB=Y")</f>
        <v>http://ovidsp.ovid.com/ovidweb.cgi?T=JS&amp;NEWS=n&amp;CSC=Y&amp;PAGE=booktext&amp;D=books&amp;AN=01337295$&amp;XPATH=/PG(0)&amp;EPUB=Y</v>
      </c>
      <c r="G812" t="s">
        <v>2139</v>
      </c>
      <c r="H812" t="s">
        <v>2974</v>
      </c>
      <c r="I812">
        <v>1206726</v>
      </c>
      <c r="J812" t="s">
        <v>3263</v>
      </c>
      <c r="K812" t="s">
        <v>2232</v>
      </c>
    </row>
    <row r="813" spans="1:11" x14ac:dyDescent="0.3">
      <c r="A813" t="s">
        <v>2891</v>
      </c>
      <c r="B813" t="s">
        <v>3050</v>
      </c>
      <c r="C813" t="s">
        <v>880</v>
      </c>
      <c r="D813" t="s">
        <v>4111</v>
      </c>
      <c r="E813" t="s">
        <v>1104</v>
      </c>
      <c r="F813" s="1" t="str">
        <f>HYPERLINK("http://ovidsp.ovid.com/ovidweb.cgi?T=JS&amp;NEWS=n&amp;CSC=Y&amp;PAGE=booktext&amp;D=books&amp;AN=01382629$&amp;XPATH=/PG(0)&amp;EPUB=Y","http://ovidsp.ovid.com/ovidweb.cgi?T=JS&amp;NEWS=n&amp;CSC=Y&amp;PAGE=booktext&amp;D=books&amp;AN=01382629$&amp;XPATH=/PG(0)&amp;EPUB=Y")</f>
        <v>http://ovidsp.ovid.com/ovidweb.cgi?T=JS&amp;NEWS=n&amp;CSC=Y&amp;PAGE=booktext&amp;D=books&amp;AN=01382629$&amp;XPATH=/PG(0)&amp;EPUB=Y</v>
      </c>
      <c r="G813" t="s">
        <v>2139</v>
      </c>
      <c r="H813" t="s">
        <v>2974</v>
      </c>
      <c r="I813">
        <v>1206726</v>
      </c>
      <c r="J813" t="s">
        <v>3263</v>
      </c>
      <c r="K813" t="s">
        <v>3765</v>
      </c>
    </row>
    <row r="814" spans="1:11" x14ac:dyDescent="0.3">
      <c r="A814" t="s">
        <v>1318</v>
      </c>
      <c r="B814" t="s">
        <v>1146</v>
      </c>
      <c r="C814" t="s">
        <v>3258</v>
      </c>
      <c r="D814" t="s">
        <v>4111</v>
      </c>
      <c r="E814" t="s">
        <v>2223</v>
      </c>
      <c r="F814" s="1" t="str">
        <f>HYPERLINK("http://ovidsp.ovid.com/ovidweb.cgi?T=JS&amp;NEWS=n&amp;CSC=Y&amp;PAGE=booktext&amp;D=books&amp;AN=01437548$&amp;XPATH=/PG(0)&amp;EPUB=Y","http://ovidsp.ovid.com/ovidweb.cgi?T=JS&amp;NEWS=n&amp;CSC=Y&amp;PAGE=booktext&amp;D=books&amp;AN=01437548$&amp;XPATH=/PG(0)&amp;EPUB=Y")</f>
        <v>http://ovidsp.ovid.com/ovidweb.cgi?T=JS&amp;NEWS=n&amp;CSC=Y&amp;PAGE=booktext&amp;D=books&amp;AN=01437548$&amp;XPATH=/PG(0)&amp;EPUB=Y</v>
      </c>
      <c r="G814" t="s">
        <v>2139</v>
      </c>
      <c r="H814" t="s">
        <v>2974</v>
      </c>
      <c r="I814">
        <v>1206726</v>
      </c>
      <c r="J814" t="s">
        <v>3263</v>
      </c>
      <c r="K814" t="s">
        <v>426</v>
      </c>
    </row>
    <row r="815" spans="1:11" x14ac:dyDescent="0.3">
      <c r="A815" t="s">
        <v>2803</v>
      </c>
      <c r="B815" t="s">
        <v>1910</v>
      </c>
      <c r="C815" t="s">
        <v>916</v>
      </c>
      <c r="D815" t="s">
        <v>4111</v>
      </c>
      <c r="E815" t="s">
        <v>2223</v>
      </c>
      <c r="F815" s="1" t="str">
        <f>HYPERLINK("http://ovidsp.ovid.com/ovidweb.cgi?T=JS&amp;NEWS=n&amp;CSC=Y&amp;PAGE=booktext&amp;D=books&amp;AN=01437549$&amp;XPATH=/PG(0)&amp;EPUB=Y","http://ovidsp.ovid.com/ovidweb.cgi?T=JS&amp;NEWS=n&amp;CSC=Y&amp;PAGE=booktext&amp;D=books&amp;AN=01437549$&amp;XPATH=/PG(0)&amp;EPUB=Y")</f>
        <v>http://ovidsp.ovid.com/ovidweb.cgi?T=JS&amp;NEWS=n&amp;CSC=Y&amp;PAGE=booktext&amp;D=books&amp;AN=01437549$&amp;XPATH=/PG(0)&amp;EPUB=Y</v>
      </c>
      <c r="G815" t="s">
        <v>2139</v>
      </c>
      <c r="H815" t="s">
        <v>2974</v>
      </c>
      <c r="I815">
        <v>1206726</v>
      </c>
      <c r="J815" t="s">
        <v>3263</v>
      </c>
      <c r="K815" t="s">
        <v>3042</v>
      </c>
    </row>
    <row r="816" spans="1:11" x14ac:dyDescent="0.3">
      <c r="A816" t="s">
        <v>3699</v>
      </c>
      <c r="B816" t="s">
        <v>4700</v>
      </c>
      <c r="C816" t="s">
        <v>2202</v>
      </c>
      <c r="D816" t="s">
        <v>4111</v>
      </c>
      <c r="E816" t="s">
        <v>2223</v>
      </c>
      <c r="F816" s="1" t="str">
        <f>HYPERLINK("http://ovidsp.ovid.com/ovidweb.cgi?T=JS&amp;NEWS=n&amp;CSC=Y&amp;PAGE=booktext&amp;D=books&amp;AN=01437550$&amp;XPATH=/PG(0)&amp;EPUB=Y","http://ovidsp.ovid.com/ovidweb.cgi?T=JS&amp;NEWS=n&amp;CSC=Y&amp;PAGE=booktext&amp;D=books&amp;AN=01437550$&amp;XPATH=/PG(0)&amp;EPUB=Y")</f>
        <v>http://ovidsp.ovid.com/ovidweb.cgi?T=JS&amp;NEWS=n&amp;CSC=Y&amp;PAGE=booktext&amp;D=books&amp;AN=01437550$&amp;XPATH=/PG(0)&amp;EPUB=Y</v>
      </c>
      <c r="G816" t="s">
        <v>2139</v>
      </c>
      <c r="H816" t="s">
        <v>2974</v>
      </c>
      <c r="I816">
        <v>1206726</v>
      </c>
      <c r="J816" t="s">
        <v>3263</v>
      </c>
      <c r="K816" t="s">
        <v>3218</v>
      </c>
    </row>
    <row r="817" spans="1:11" x14ac:dyDescent="0.3">
      <c r="A817" t="s">
        <v>3917</v>
      </c>
      <c r="B817" t="s">
        <v>1308</v>
      </c>
      <c r="C817" t="s">
        <v>942</v>
      </c>
      <c r="D817" t="s">
        <v>4111</v>
      </c>
      <c r="E817" t="s">
        <v>2223</v>
      </c>
      <c r="F817" s="1" t="str">
        <f>HYPERLINK("http://ovidsp.ovid.com/ovidweb.cgi?T=JS&amp;NEWS=n&amp;CSC=Y&amp;PAGE=booktext&amp;D=books&amp;AN=01279755$&amp;XPATH=/PG(0)&amp;EPUB=Y","http://ovidsp.ovid.com/ovidweb.cgi?T=JS&amp;NEWS=n&amp;CSC=Y&amp;PAGE=booktext&amp;D=books&amp;AN=01279755$&amp;XPATH=/PG(0)&amp;EPUB=Y")</f>
        <v>http://ovidsp.ovid.com/ovidweb.cgi?T=JS&amp;NEWS=n&amp;CSC=Y&amp;PAGE=booktext&amp;D=books&amp;AN=01279755$&amp;XPATH=/PG(0)&amp;EPUB=Y</v>
      </c>
      <c r="G817" t="s">
        <v>2139</v>
      </c>
      <c r="H817" t="s">
        <v>2974</v>
      </c>
      <c r="I817">
        <v>1206726</v>
      </c>
      <c r="J817" t="s">
        <v>3263</v>
      </c>
      <c r="K817" t="s">
        <v>2208</v>
      </c>
    </row>
    <row r="818" spans="1:11" x14ac:dyDescent="0.3">
      <c r="A818" t="s">
        <v>1344</v>
      </c>
      <c r="B818" t="s">
        <v>3082</v>
      </c>
      <c r="C818" t="s">
        <v>323</v>
      </c>
      <c r="D818" t="s">
        <v>4111</v>
      </c>
      <c r="E818" t="s">
        <v>2223</v>
      </c>
      <c r="F818" s="1" t="str">
        <f>HYPERLINK("http://ovidsp.ovid.com/ovidweb.cgi?T=JS&amp;NEWS=n&amp;CSC=Y&amp;PAGE=booktext&amp;D=books&amp;AN=01437547$&amp;XPATH=/PG(0)&amp;EPUB=Y","http://ovidsp.ovid.com/ovidweb.cgi?T=JS&amp;NEWS=n&amp;CSC=Y&amp;PAGE=booktext&amp;D=books&amp;AN=01437547$&amp;XPATH=/PG(0)&amp;EPUB=Y")</f>
        <v>http://ovidsp.ovid.com/ovidweb.cgi?T=JS&amp;NEWS=n&amp;CSC=Y&amp;PAGE=booktext&amp;D=books&amp;AN=01437547$&amp;XPATH=/PG(0)&amp;EPUB=Y</v>
      </c>
      <c r="G818" t="s">
        <v>2139</v>
      </c>
      <c r="H818" t="s">
        <v>2974</v>
      </c>
      <c r="I818">
        <v>1206726</v>
      </c>
      <c r="J818" t="s">
        <v>3263</v>
      </c>
      <c r="K818" t="s">
        <v>624</v>
      </c>
    </row>
    <row r="819" spans="1:11" x14ac:dyDescent="0.3">
      <c r="A819" t="s">
        <v>4184</v>
      </c>
      <c r="B819" t="s">
        <v>3995</v>
      </c>
      <c r="C819" t="s">
        <v>4640</v>
      </c>
      <c r="D819" t="s">
        <v>4111</v>
      </c>
      <c r="E819" t="s">
        <v>2223</v>
      </c>
      <c r="F819" s="1" t="str">
        <f>HYPERLINK("http://ovidsp.ovid.com/ovidweb.cgi?T=JS&amp;NEWS=n&amp;CSC=Y&amp;PAGE=booktext&amp;D=books&amp;AN=01647994$&amp;XPATH=/PG(0)&amp;EPUB=Y","http://ovidsp.ovid.com/ovidweb.cgi?T=JS&amp;NEWS=n&amp;CSC=Y&amp;PAGE=booktext&amp;D=books&amp;AN=01647994$&amp;XPATH=/PG(0)&amp;EPUB=Y")</f>
        <v>http://ovidsp.ovid.com/ovidweb.cgi?T=JS&amp;NEWS=n&amp;CSC=Y&amp;PAGE=booktext&amp;D=books&amp;AN=01647994$&amp;XPATH=/PG(0)&amp;EPUB=Y</v>
      </c>
      <c r="G819" t="s">
        <v>2139</v>
      </c>
      <c r="H819" t="s">
        <v>2974</v>
      </c>
      <c r="I819">
        <v>1206726</v>
      </c>
      <c r="J819" t="s">
        <v>3263</v>
      </c>
      <c r="K819" t="s">
        <v>2587</v>
      </c>
    </row>
    <row r="820" spans="1:11" x14ac:dyDescent="0.3">
      <c r="A820" t="s">
        <v>3234</v>
      </c>
      <c r="B820" t="s">
        <v>479</v>
      </c>
      <c r="C820" t="s">
        <v>3452</v>
      </c>
      <c r="D820" t="s">
        <v>4111</v>
      </c>
      <c r="E820" t="s">
        <v>2223</v>
      </c>
      <c r="F820" s="1" t="str">
        <f>HYPERLINK("http://ovidsp.ovid.com/ovidweb.cgi?T=JS&amp;NEWS=n&amp;CSC=Y&amp;PAGE=booktext&amp;D=books&amp;AN=01437552$&amp;XPATH=/PG(0)&amp;EPUB=Y","http://ovidsp.ovid.com/ovidweb.cgi?T=JS&amp;NEWS=n&amp;CSC=Y&amp;PAGE=booktext&amp;D=books&amp;AN=01437552$&amp;XPATH=/PG(0)&amp;EPUB=Y")</f>
        <v>http://ovidsp.ovid.com/ovidweb.cgi?T=JS&amp;NEWS=n&amp;CSC=Y&amp;PAGE=booktext&amp;D=books&amp;AN=01437552$&amp;XPATH=/PG(0)&amp;EPUB=Y</v>
      </c>
      <c r="G820" t="s">
        <v>2139</v>
      </c>
      <c r="H820" t="s">
        <v>2974</v>
      </c>
      <c r="I820">
        <v>1206726</v>
      </c>
      <c r="J820" t="s">
        <v>3263</v>
      </c>
      <c r="K820" t="s">
        <v>991</v>
      </c>
    </row>
    <row r="821" spans="1:11" x14ac:dyDescent="0.3">
      <c r="A821" t="s">
        <v>2111</v>
      </c>
      <c r="B821" t="s">
        <v>1461</v>
      </c>
      <c r="C821" t="s">
        <v>656</v>
      </c>
      <c r="D821" t="s">
        <v>4111</v>
      </c>
      <c r="E821" t="s">
        <v>2223</v>
      </c>
      <c r="F821" s="1" t="str">
        <f>HYPERLINK("http://ovidsp.ovid.com/ovidweb.cgi?T=JS&amp;NEWS=n&amp;CSC=Y&amp;PAGE=booktext&amp;D=books&amp;AN=01437553$&amp;XPATH=/PG(0)&amp;EPUB=Y","http://ovidsp.ovid.com/ovidweb.cgi?T=JS&amp;NEWS=n&amp;CSC=Y&amp;PAGE=booktext&amp;D=books&amp;AN=01437553$&amp;XPATH=/PG(0)&amp;EPUB=Y")</f>
        <v>http://ovidsp.ovid.com/ovidweb.cgi?T=JS&amp;NEWS=n&amp;CSC=Y&amp;PAGE=booktext&amp;D=books&amp;AN=01437553$&amp;XPATH=/PG(0)&amp;EPUB=Y</v>
      </c>
      <c r="G821" t="s">
        <v>2139</v>
      </c>
      <c r="H821" t="s">
        <v>2974</v>
      </c>
      <c r="I821">
        <v>1206726</v>
      </c>
      <c r="J821" t="s">
        <v>3263</v>
      </c>
      <c r="K821" t="s">
        <v>4010</v>
      </c>
    </row>
    <row r="822" spans="1:11" x14ac:dyDescent="0.3">
      <c r="A822" t="s">
        <v>4318</v>
      </c>
      <c r="B822" t="s">
        <v>480</v>
      </c>
      <c r="C822" t="s">
        <v>2638</v>
      </c>
      <c r="D822" t="s">
        <v>4111</v>
      </c>
      <c r="E822" t="s">
        <v>2223</v>
      </c>
      <c r="F822" s="1" t="str">
        <f>HYPERLINK("http://ovidsp.ovid.com/ovidweb.cgi?T=JS&amp;NEWS=n&amp;CSC=Y&amp;PAGE=booktext&amp;D=books&amp;AN=01626614$&amp;XPATH=/PG(0)&amp;EPUB=Y","http://ovidsp.ovid.com/ovidweb.cgi?T=JS&amp;NEWS=n&amp;CSC=Y&amp;PAGE=booktext&amp;D=books&amp;AN=01626614$&amp;XPATH=/PG(0)&amp;EPUB=Y")</f>
        <v>http://ovidsp.ovid.com/ovidweb.cgi?T=JS&amp;NEWS=n&amp;CSC=Y&amp;PAGE=booktext&amp;D=books&amp;AN=01626614$&amp;XPATH=/PG(0)&amp;EPUB=Y</v>
      </c>
      <c r="G822" t="s">
        <v>2139</v>
      </c>
      <c r="H822" t="s">
        <v>2974</v>
      </c>
      <c r="I822">
        <v>1206726</v>
      </c>
      <c r="J822" t="s">
        <v>3263</v>
      </c>
      <c r="K822" t="s">
        <v>2315</v>
      </c>
    </row>
    <row r="823" spans="1:11" x14ac:dyDescent="0.3">
      <c r="A823" t="s">
        <v>2377</v>
      </c>
      <c r="B823" t="s">
        <v>4326</v>
      </c>
      <c r="C823" t="s">
        <v>1358</v>
      </c>
      <c r="D823" t="s">
        <v>4111</v>
      </c>
      <c r="E823" t="s">
        <v>2223</v>
      </c>
      <c r="F823" s="1" t="str">
        <f>HYPERLINK("http://ovidsp.ovid.com/ovidweb.cgi?T=JS&amp;NEWS=n&amp;CSC=Y&amp;PAGE=booktext&amp;D=books&amp;AN=01437554$&amp;XPATH=/PG(0)&amp;EPUB=Y","http://ovidsp.ovid.com/ovidweb.cgi?T=JS&amp;NEWS=n&amp;CSC=Y&amp;PAGE=booktext&amp;D=books&amp;AN=01437554$&amp;XPATH=/PG(0)&amp;EPUB=Y")</f>
        <v>http://ovidsp.ovid.com/ovidweb.cgi?T=JS&amp;NEWS=n&amp;CSC=Y&amp;PAGE=booktext&amp;D=books&amp;AN=01437554$&amp;XPATH=/PG(0)&amp;EPUB=Y</v>
      </c>
      <c r="G823" t="s">
        <v>2139</v>
      </c>
      <c r="H823" t="s">
        <v>2974</v>
      </c>
      <c r="I823">
        <v>1206726</v>
      </c>
      <c r="J823" t="s">
        <v>3263</v>
      </c>
      <c r="K823" t="s">
        <v>2432</v>
      </c>
    </row>
    <row r="824" spans="1:11" x14ac:dyDescent="0.3">
      <c r="A824" t="s">
        <v>1844</v>
      </c>
      <c r="B824" t="s">
        <v>4358</v>
      </c>
      <c r="C824" t="s">
        <v>2227</v>
      </c>
      <c r="D824" t="s">
        <v>4111</v>
      </c>
      <c r="E824" t="s">
        <v>2876</v>
      </c>
      <c r="F824" s="1" t="str">
        <f>HYPERLINK("http://ovidsp.ovid.com/ovidweb.cgi?T=JS&amp;NEWS=n&amp;CSC=Y&amp;PAGE=booktext&amp;D=books&amp;AN=01437555$&amp;XPATH=/PG(0)&amp;EPUB=Y","http://ovidsp.ovid.com/ovidweb.cgi?T=JS&amp;NEWS=n&amp;CSC=Y&amp;PAGE=booktext&amp;D=books&amp;AN=01437555$&amp;XPATH=/PG(0)&amp;EPUB=Y")</f>
        <v>http://ovidsp.ovid.com/ovidweb.cgi?T=JS&amp;NEWS=n&amp;CSC=Y&amp;PAGE=booktext&amp;D=books&amp;AN=01437555$&amp;XPATH=/PG(0)&amp;EPUB=Y</v>
      </c>
      <c r="G824" t="s">
        <v>2139</v>
      </c>
      <c r="H824" t="s">
        <v>2974</v>
      </c>
      <c r="I824">
        <v>1206726</v>
      </c>
      <c r="J824" t="s">
        <v>3263</v>
      </c>
      <c r="K824" t="s">
        <v>3755</v>
      </c>
    </row>
    <row r="825" spans="1:11" x14ac:dyDescent="0.3">
      <c r="A825" t="s">
        <v>408</v>
      </c>
      <c r="B825" t="s">
        <v>4094</v>
      </c>
      <c r="C825" t="s">
        <v>2469</v>
      </c>
      <c r="D825" t="s">
        <v>4111</v>
      </c>
      <c r="E825" t="s">
        <v>2223</v>
      </c>
      <c r="F825" s="1" t="str">
        <f>HYPERLINK("http://ovidsp.ovid.com/ovidweb.cgi?T=JS&amp;NEWS=n&amp;CSC=Y&amp;PAGE=booktext&amp;D=books&amp;AN=01437518$&amp;XPATH=/PG(0)&amp;EPUB=Y","http://ovidsp.ovid.com/ovidweb.cgi?T=JS&amp;NEWS=n&amp;CSC=Y&amp;PAGE=booktext&amp;D=books&amp;AN=01437518$&amp;XPATH=/PG(0)&amp;EPUB=Y")</f>
        <v>http://ovidsp.ovid.com/ovidweb.cgi?T=JS&amp;NEWS=n&amp;CSC=Y&amp;PAGE=booktext&amp;D=books&amp;AN=01437518$&amp;XPATH=/PG(0)&amp;EPUB=Y</v>
      </c>
      <c r="G825" t="s">
        <v>2139</v>
      </c>
      <c r="H825" t="s">
        <v>2974</v>
      </c>
      <c r="I825">
        <v>1206726</v>
      </c>
      <c r="J825" t="s">
        <v>3263</v>
      </c>
      <c r="K825" t="s">
        <v>4500</v>
      </c>
    </row>
    <row r="826" spans="1:11" x14ac:dyDescent="0.3">
      <c r="A826" t="s">
        <v>3914</v>
      </c>
      <c r="B826" t="s">
        <v>1851</v>
      </c>
      <c r="C826" t="s">
        <v>1698</v>
      </c>
      <c r="D826" t="s">
        <v>4111</v>
      </c>
      <c r="E826" t="s">
        <v>2223</v>
      </c>
      <c r="F826" s="1" t="str">
        <f>HYPERLINK("http://ovidsp.ovid.com/ovidweb.cgi?T=JS&amp;NEWS=n&amp;CSC=Y&amp;PAGE=booktext&amp;D=books&amp;AN=01279712$&amp;XPATH=/PG(0)&amp;EPUB=Y","http://ovidsp.ovid.com/ovidweb.cgi?T=JS&amp;NEWS=n&amp;CSC=Y&amp;PAGE=booktext&amp;D=books&amp;AN=01279712$&amp;XPATH=/PG(0)&amp;EPUB=Y")</f>
        <v>http://ovidsp.ovid.com/ovidweb.cgi?T=JS&amp;NEWS=n&amp;CSC=Y&amp;PAGE=booktext&amp;D=books&amp;AN=01279712$&amp;XPATH=/PG(0)&amp;EPUB=Y</v>
      </c>
      <c r="G826" t="s">
        <v>2139</v>
      </c>
      <c r="H826" t="s">
        <v>2974</v>
      </c>
      <c r="I826">
        <v>1206726</v>
      </c>
      <c r="J826" t="s">
        <v>3263</v>
      </c>
      <c r="K826" t="s">
        <v>2328</v>
      </c>
    </row>
    <row r="827" spans="1:11" x14ac:dyDescent="0.3">
      <c r="A827" t="s">
        <v>3575</v>
      </c>
      <c r="B827" t="s">
        <v>2176</v>
      </c>
      <c r="C827" t="s">
        <v>3201</v>
      </c>
      <c r="D827" t="s">
        <v>4111</v>
      </c>
      <c r="E827" t="s">
        <v>2223</v>
      </c>
      <c r="F827" s="1" t="str">
        <f>HYPERLINK("http://ovidsp.ovid.com/ovidweb.cgi?T=JS&amp;NEWS=n&amp;CSC=Y&amp;PAGE=booktext&amp;D=books&amp;AN=01437557$&amp;XPATH=/PG(0)&amp;EPUB=Y","http://ovidsp.ovid.com/ovidweb.cgi?T=JS&amp;NEWS=n&amp;CSC=Y&amp;PAGE=booktext&amp;D=books&amp;AN=01437557$&amp;XPATH=/PG(0)&amp;EPUB=Y")</f>
        <v>http://ovidsp.ovid.com/ovidweb.cgi?T=JS&amp;NEWS=n&amp;CSC=Y&amp;PAGE=booktext&amp;D=books&amp;AN=01437557$&amp;XPATH=/PG(0)&amp;EPUB=Y</v>
      </c>
      <c r="G827" t="s">
        <v>2139</v>
      </c>
      <c r="H827" t="s">
        <v>2974</v>
      </c>
      <c r="I827">
        <v>1206726</v>
      </c>
      <c r="J827" t="s">
        <v>3263</v>
      </c>
      <c r="K827" t="s">
        <v>980</v>
      </c>
    </row>
    <row r="828" spans="1:11" x14ac:dyDescent="0.3">
      <c r="A828" t="s">
        <v>1375</v>
      </c>
      <c r="B828" t="s">
        <v>4057</v>
      </c>
      <c r="C828" t="s">
        <v>1562</v>
      </c>
      <c r="D828" t="s">
        <v>4111</v>
      </c>
      <c r="E828" t="s">
        <v>3051</v>
      </c>
      <c r="F828" s="1" t="str">
        <f>HYPERLINK("http://ovidsp.ovid.com/ovidweb.cgi?T=JS&amp;NEWS=n&amp;CSC=Y&amp;PAGE=booktext&amp;D=books&amp;AN=00140040$&amp;XPATH=/PG(0)&amp;EPUB=Y","http://ovidsp.ovid.com/ovidweb.cgi?T=JS&amp;NEWS=n&amp;CSC=Y&amp;PAGE=booktext&amp;D=books&amp;AN=00140040$&amp;XPATH=/PG(0)&amp;EPUB=Y")</f>
        <v>http://ovidsp.ovid.com/ovidweb.cgi?T=JS&amp;NEWS=n&amp;CSC=Y&amp;PAGE=booktext&amp;D=books&amp;AN=00140040$&amp;XPATH=/PG(0)&amp;EPUB=Y</v>
      </c>
      <c r="G828" t="s">
        <v>2139</v>
      </c>
      <c r="H828" t="s">
        <v>2974</v>
      </c>
      <c r="I828">
        <v>1206726</v>
      </c>
      <c r="J828" t="s">
        <v>3263</v>
      </c>
      <c r="K828" t="s">
        <v>3554</v>
      </c>
    </row>
    <row r="829" spans="1:11" x14ac:dyDescent="0.3">
      <c r="A829" t="s">
        <v>2298</v>
      </c>
      <c r="B829" t="s">
        <v>3555</v>
      </c>
      <c r="C829" t="s">
        <v>4257</v>
      </c>
      <c r="D829" t="s">
        <v>4111</v>
      </c>
      <c r="E829" t="s">
        <v>3051</v>
      </c>
      <c r="F829" s="1" t="str">
        <f>HYPERLINK("http://ovidsp.ovid.com/ovidweb.cgi?T=JS&amp;NEWS=n&amp;CSC=Y&amp;PAGE=booktext&amp;D=books&amp;AN=01279756$&amp;XPATH=/PG(0)&amp;EPUB=Y","http://ovidsp.ovid.com/ovidweb.cgi?T=JS&amp;NEWS=n&amp;CSC=Y&amp;PAGE=booktext&amp;D=books&amp;AN=01279756$&amp;XPATH=/PG(0)&amp;EPUB=Y")</f>
        <v>http://ovidsp.ovid.com/ovidweb.cgi?T=JS&amp;NEWS=n&amp;CSC=Y&amp;PAGE=booktext&amp;D=books&amp;AN=01279756$&amp;XPATH=/PG(0)&amp;EPUB=Y</v>
      </c>
      <c r="G829" t="s">
        <v>2139</v>
      </c>
      <c r="H829" t="s">
        <v>2974</v>
      </c>
      <c r="I829">
        <v>1206726</v>
      </c>
      <c r="J829" t="s">
        <v>3263</v>
      </c>
      <c r="K829" t="s">
        <v>1867</v>
      </c>
    </row>
    <row r="830" spans="1:11" x14ac:dyDescent="0.3">
      <c r="A830" t="s">
        <v>4155</v>
      </c>
      <c r="B830" t="s">
        <v>4351</v>
      </c>
      <c r="C830" t="s">
        <v>2870</v>
      </c>
      <c r="D830" t="s">
        <v>4111</v>
      </c>
      <c r="E830" t="s">
        <v>2223</v>
      </c>
      <c r="F830" s="1" t="str">
        <f>HYPERLINK("http://ovidsp.ovid.com/ovidweb.cgi?T=JS&amp;NEWS=n&amp;CSC=Y&amp;PAGE=booktext&amp;D=books&amp;AN=01279713$&amp;XPATH=/PG(0)&amp;EPUB=Y","http://ovidsp.ovid.com/ovidweb.cgi?T=JS&amp;NEWS=n&amp;CSC=Y&amp;PAGE=booktext&amp;D=books&amp;AN=01279713$&amp;XPATH=/PG(0)&amp;EPUB=Y")</f>
        <v>http://ovidsp.ovid.com/ovidweb.cgi?T=JS&amp;NEWS=n&amp;CSC=Y&amp;PAGE=booktext&amp;D=books&amp;AN=01279713$&amp;XPATH=/PG(0)&amp;EPUB=Y</v>
      </c>
      <c r="G830" t="s">
        <v>2139</v>
      </c>
      <c r="H830" t="s">
        <v>2974</v>
      </c>
      <c r="I830">
        <v>1206726</v>
      </c>
      <c r="J830" t="s">
        <v>3263</v>
      </c>
      <c r="K830" t="s">
        <v>2106</v>
      </c>
    </row>
    <row r="831" spans="1:11" x14ac:dyDescent="0.3">
      <c r="A831" t="s">
        <v>248</v>
      </c>
      <c r="B831" t="s">
        <v>4110</v>
      </c>
      <c r="C831" t="s">
        <v>3957</v>
      </c>
      <c r="D831" t="s">
        <v>4111</v>
      </c>
      <c r="E831" t="s">
        <v>3387</v>
      </c>
      <c r="F831" s="1" t="str">
        <f>HYPERLINK("http://ovidsp.ovid.com/ovidweb.cgi?T=JS&amp;NEWS=n&amp;CSC=Y&amp;PAGE=booktext&amp;D=books&amp;AN=01382632$&amp;XPATH=/PG(0)&amp;EPUB=Y","http://ovidsp.ovid.com/ovidweb.cgi?T=JS&amp;NEWS=n&amp;CSC=Y&amp;PAGE=booktext&amp;D=books&amp;AN=01382632$&amp;XPATH=/PG(0)&amp;EPUB=Y")</f>
        <v>http://ovidsp.ovid.com/ovidweb.cgi?T=JS&amp;NEWS=n&amp;CSC=Y&amp;PAGE=booktext&amp;D=books&amp;AN=01382632$&amp;XPATH=/PG(0)&amp;EPUB=Y</v>
      </c>
      <c r="G831" t="s">
        <v>2139</v>
      </c>
      <c r="H831" t="s">
        <v>2974</v>
      </c>
      <c r="I831">
        <v>1206726</v>
      </c>
      <c r="J831" t="s">
        <v>3263</v>
      </c>
      <c r="K831" t="s">
        <v>4206</v>
      </c>
    </row>
    <row r="832" spans="1:11" x14ac:dyDescent="0.3">
      <c r="A832" t="s">
        <v>2718</v>
      </c>
      <c r="B832" t="s">
        <v>3278</v>
      </c>
      <c r="C832" t="s">
        <v>3634</v>
      </c>
      <c r="D832" t="s">
        <v>4111</v>
      </c>
      <c r="E832" t="s">
        <v>404</v>
      </c>
      <c r="F832" s="1" t="str">
        <f>HYPERLINK("http://ovidsp.ovid.com/ovidweb.cgi?T=JS&amp;NEWS=n&amp;CSC=Y&amp;PAGE=booktext&amp;D=books&amp;AN=00139973$&amp;XPATH=/PG(0)&amp;EPUB=Y","http://ovidsp.ovid.com/ovidweb.cgi?T=JS&amp;NEWS=n&amp;CSC=Y&amp;PAGE=booktext&amp;D=books&amp;AN=00139973$&amp;XPATH=/PG(0)&amp;EPUB=Y")</f>
        <v>http://ovidsp.ovid.com/ovidweb.cgi?T=JS&amp;NEWS=n&amp;CSC=Y&amp;PAGE=booktext&amp;D=books&amp;AN=00139973$&amp;XPATH=/PG(0)&amp;EPUB=Y</v>
      </c>
      <c r="G832" t="s">
        <v>2139</v>
      </c>
      <c r="H832" t="s">
        <v>2974</v>
      </c>
      <c r="I832">
        <v>1206726</v>
      </c>
      <c r="J832" t="s">
        <v>3263</v>
      </c>
      <c r="K832" t="s">
        <v>234</v>
      </c>
    </row>
    <row r="833" spans="1:11" x14ac:dyDescent="0.3">
      <c r="A833" t="s">
        <v>3655</v>
      </c>
      <c r="B833" t="s">
        <v>3255</v>
      </c>
      <c r="C833" t="s">
        <v>2921</v>
      </c>
      <c r="D833" t="s">
        <v>4111</v>
      </c>
      <c r="E833" t="s">
        <v>2223</v>
      </c>
      <c r="F833" s="1" t="str">
        <f>HYPERLINK("http://ovidsp.ovid.com/ovidweb.cgi?T=JS&amp;NEWS=n&amp;CSC=Y&amp;PAGE=booktext&amp;D=books&amp;AN=01382576$&amp;XPATH=/PG(0)&amp;EPUB=Y","http://ovidsp.ovid.com/ovidweb.cgi?T=JS&amp;NEWS=n&amp;CSC=Y&amp;PAGE=booktext&amp;D=books&amp;AN=01382576$&amp;XPATH=/PG(0)&amp;EPUB=Y")</f>
        <v>http://ovidsp.ovid.com/ovidweb.cgi?T=JS&amp;NEWS=n&amp;CSC=Y&amp;PAGE=booktext&amp;D=books&amp;AN=01382576$&amp;XPATH=/PG(0)&amp;EPUB=Y</v>
      </c>
      <c r="G833" t="s">
        <v>2139</v>
      </c>
      <c r="H833" t="s">
        <v>2974</v>
      </c>
      <c r="I833">
        <v>1206726</v>
      </c>
      <c r="J833" t="s">
        <v>3263</v>
      </c>
      <c r="K833" t="s">
        <v>1238</v>
      </c>
    </row>
    <row r="834" spans="1:11" x14ac:dyDescent="0.3">
      <c r="A834" t="s">
        <v>1516</v>
      </c>
      <c r="B834" t="s">
        <v>1472</v>
      </c>
      <c r="C834" t="s">
        <v>811</v>
      </c>
      <c r="D834" t="s">
        <v>4111</v>
      </c>
      <c r="E834" t="s">
        <v>404</v>
      </c>
      <c r="F834" s="1" t="str">
        <f>HYPERLINK("http://ovidsp.ovid.com/ovidweb.cgi?T=JS&amp;NEWS=n&amp;CSC=Y&amp;PAGE=booktext&amp;D=books&amp;AN=00149809$&amp;XPATH=/PG(0)&amp;EPUB=Y","http://ovidsp.ovid.com/ovidweb.cgi?T=JS&amp;NEWS=n&amp;CSC=Y&amp;PAGE=booktext&amp;D=books&amp;AN=00149809$&amp;XPATH=/PG(0)&amp;EPUB=Y")</f>
        <v>http://ovidsp.ovid.com/ovidweb.cgi?T=JS&amp;NEWS=n&amp;CSC=Y&amp;PAGE=booktext&amp;D=books&amp;AN=00149809$&amp;XPATH=/PG(0)&amp;EPUB=Y</v>
      </c>
      <c r="G834" t="s">
        <v>2139</v>
      </c>
      <c r="H834" t="s">
        <v>2974</v>
      </c>
      <c r="I834">
        <v>1206726</v>
      </c>
      <c r="J834" t="s">
        <v>3263</v>
      </c>
      <c r="K834" t="s">
        <v>1825</v>
      </c>
    </row>
    <row r="835" spans="1:11" x14ac:dyDescent="0.3">
      <c r="A835" t="s">
        <v>1466</v>
      </c>
      <c r="B835" t="s">
        <v>4407</v>
      </c>
      <c r="C835" t="s">
        <v>1604</v>
      </c>
      <c r="D835" t="s">
        <v>4111</v>
      </c>
      <c r="E835" t="s">
        <v>2223</v>
      </c>
      <c r="F835" s="1" t="str">
        <f>HYPERLINK("http://ovidsp.ovid.com/ovidweb.cgi?T=JS&amp;NEWS=n&amp;CSC=Y&amp;PAGE=booktext&amp;D=books&amp;AN=01438879$&amp;XPATH=/PG(0)&amp;EPUB=Y","http://ovidsp.ovid.com/ovidweb.cgi?T=JS&amp;NEWS=n&amp;CSC=Y&amp;PAGE=booktext&amp;D=books&amp;AN=01438879$&amp;XPATH=/PG(0)&amp;EPUB=Y")</f>
        <v>http://ovidsp.ovid.com/ovidweb.cgi?T=JS&amp;NEWS=n&amp;CSC=Y&amp;PAGE=booktext&amp;D=books&amp;AN=01438879$&amp;XPATH=/PG(0)&amp;EPUB=Y</v>
      </c>
      <c r="G835" t="s">
        <v>2139</v>
      </c>
      <c r="H835" t="s">
        <v>2974</v>
      </c>
      <c r="I835">
        <v>1206726</v>
      </c>
      <c r="J835" t="s">
        <v>3263</v>
      </c>
      <c r="K835" t="s">
        <v>1042</v>
      </c>
    </row>
    <row r="836" spans="1:11" x14ac:dyDescent="0.3">
      <c r="A836" t="s">
        <v>3761</v>
      </c>
      <c r="B836" t="s">
        <v>933</v>
      </c>
      <c r="C836" t="s">
        <v>2705</v>
      </c>
      <c r="D836" t="s">
        <v>4111</v>
      </c>
      <c r="E836" t="s">
        <v>2223</v>
      </c>
      <c r="F836" s="1" t="str">
        <f>HYPERLINK("http://ovidsp.ovid.com/ovidweb.cgi?T=JS&amp;NEWS=n&amp;CSC=Y&amp;PAGE=booktext&amp;D=books&amp;AN=01382699$&amp;XPATH=/PG(0)&amp;EPUB=Y","http://ovidsp.ovid.com/ovidweb.cgi?T=JS&amp;NEWS=n&amp;CSC=Y&amp;PAGE=booktext&amp;D=books&amp;AN=01382699$&amp;XPATH=/PG(0)&amp;EPUB=Y")</f>
        <v>http://ovidsp.ovid.com/ovidweb.cgi?T=JS&amp;NEWS=n&amp;CSC=Y&amp;PAGE=booktext&amp;D=books&amp;AN=01382699$&amp;XPATH=/PG(0)&amp;EPUB=Y</v>
      </c>
      <c r="G836" t="s">
        <v>2139</v>
      </c>
      <c r="H836" t="s">
        <v>2974</v>
      </c>
      <c r="I836">
        <v>1206726</v>
      </c>
      <c r="J836" t="s">
        <v>3263</v>
      </c>
      <c r="K836" t="s">
        <v>2288</v>
      </c>
    </row>
    <row r="837" spans="1:11" x14ac:dyDescent="0.3">
      <c r="A837" t="s">
        <v>99</v>
      </c>
      <c r="B837" t="s">
        <v>1485</v>
      </c>
      <c r="C837" t="s">
        <v>1969</v>
      </c>
      <c r="D837" t="s">
        <v>4111</v>
      </c>
      <c r="E837" t="s">
        <v>2876</v>
      </c>
      <c r="F837" s="1" t="str">
        <f>HYPERLINK("http://ovidsp.ovid.com/ovidweb.cgi?T=JS&amp;NEWS=n&amp;CSC=Y&amp;PAGE=booktext&amp;D=books&amp;AN=01257029$&amp;XPATH=/PG(0)&amp;EPUB=Y","http://ovidsp.ovid.com/ovidweb.cgi?T=JS&amp;NEWS=n&amp;CSC=Y&amp;PAGE=booktext&amp;D=books&amp;AN=01257029$&amp;XPATH=/PG(0)&amp;EPUB=Y")</f>
        <v>http://ovidsp.ovid.com/ovidweb.cgi?T=JS&amp;NEWS=n&amp;CSC=Y&amp;PAGE=booktext&amp;D=books&amp;AN=01257029$&amp;XPATH=/PG(0)&amp;EPUB=Y</v>
      </c>
      <c r="G837" t="s">
        <v>2139</v>
      </c>
      <c r="H837" t="s">
        <v>2974</v>
      </c>
      <c r="I837">
        <v>1206726</v>
      </c>
      <c r="J837" t="s">
        <v>3263</v>
      </c>
      <c r="K837" t="s">
        <v>3656</v>
      </c>
    </row>
    <row r="838" spans="1:11" x14ac:dyDescent="0.3">
      <c r="A838" t="s">
        <v>2418</v>
      </c>
      <c r="B838" t="s">
        <v>2537</v>
      </c>
      <c r="C838" t="s">
        <v>1182</v>
      </c>
      <c r="D838" t="s">
        <v>4111</v>
      </c>
      <c r="E838" t="s">
        <v>2223</v>
      </c>
      <c r="F838" s="1" t="str">
        <f>HYPERLINK("http://ovidsp.ovid.com/ovidweb.cgi?T=JS&amp;NEWS=n&amp;CSC=Y&amp;PAGE=booktext&amp;D=books&amp;AN=01412552$&amp;XPATH=/PG(0)&amp;EPUB=Y","http://ovidsp.ovid.com/ovidweb.cgi?T=JS&amp;NEWS=n&amp;CSC=Y&amp;PAGE=booktext&amp;D=books&amp;AN=01412552$&amp;XPATH=/PG(0)&amp;EPUB=Y")</f>
        <v>http://ovidsp.ovid.com/ovidweb.cgi?T=JS&amp;NEWS=n&amp;CSC=Y&amp;PAGE=booktext&amp;D=books&amp;AN=01412552$&amp;XPATH=/PG(0)&amp;EPUB=Y</v>
      </c>
      <c r="G838" t="s">
        <v>2139</v>
      </c>
      <c r="H838" t="s">
        <v>2974</v>
      </c>
      <c r="I838">
        <v>1206726</v>
      </c>
      <c r="J838" t="s">
        <v>3263</v>
      </c>
      <c r="K838" t="s">
        <v>1528</v>
      </c>
    </row>
    <row r="839" spans="1:11" x14ac:dyDescent="0.3">
      <c r="A839" t="s">
        <v>3592</v>
      </c>
      <c r="B839" t="s">
        <v>1677</v>
      </c>
      <c r="C839" t="s">
        <v>2944</v>
      </c>
      <c r="D839" t="s">
        <v>4111</v>
      </c>
      <c r="E839" t="s">
        <v>404</v>
      </c>
      <c r="F839" s="1" t="str">
        <f>HYPERLINK("http://ovidsp.ovid.com/ovidweb.cgi?T=JS&amp;NEWS=n&amp;CSC=Y&amp;PAGE=booktext&amp;D=books&amp;AN=01337257$&amp;XPATH=/PG(0)&amp;EPUB=Y","http://ovidsp.ovid.com/ovidweb.cgi?T=JS&amp;NEWS=n&amp;CSC=Y&amp;PAGE=booktext&amp;D=books&amp;AN=01337257$&amp;XPATH=/PG(0)&amp;EPUB=Y")</f>
        <v>http://ovidsp.ovid.com/ovidweb.cgi?T=JS&amp;NEWS=n&amp;CSC=Y&amp;PAGE=booktext&amp;D=books&amp;AN=01337257$&amp;XPATH=/PG(0)&amp;EPUB=Y</v>
      </c>
      <c r="G839" t="s">
        <v>2139</v>
      </c>
      <c r="H839" t="s">
        <v>2974</v>
      </c>
      <c r="I839">
        <v>1206726</v>
      </c>
      <c r="J839" t="s">
        <v>3263</v>
      </c>
      <c r="K839" t="s">
        <v>130</v>
      </c>
    </row>
    <row r="840" spans="1:11" x14ac:dyDescent="0.3">
      <c r="A840" t="s">
        <v>1837</v>
      </c>
      <c r="B840" t="s">
        <v>1025</v>
      </c>
      <c r="C840" t="s">
        <v>2961</v>
      </c>
      <c r="D840" t="s">
        <v>4111</v>
      </c>
      <c r="E840" t="s">
        <v>2876</v>
      </c>
      <c r="F840" s="1" t="str">
        <f>HYPERLINK("http://ovidsp.ovid.com/ovidweb.cgi?T=JS&amp;NEWS=n&amp;CSC=Y&amp;PAGE=booktext&amp;D=books&amp;AN=01648002$&amp;XPATH=/PG(0)&amp;EPUB=Y","http://ovidsp.ovid.com/ovidweb.cgi?T=JS&amp;NEWS=n&amp;CSC=Y&amp;PAGE=booktext&amp;D=books&amp;AN=01648002$&amp;XPATH=/PG(0)&amp;EPUB=Y")</f>
        <v>http://ovidsp.ovid.com/ovidweb.cgi?T=JS&amp;NEWS=n&amp;CSC=Y&amp;PAGE=booktext&amp;D=books&amp;AN=01648002$&amp;XPATH=/PG(0)&amp;EPUB=Y</v>
      </c>
      <c r="G840" t="s">
        <v>2139</v>
      </c>
      <c r="H840" t="s">
        <v>2974</v>
      </c>
      <c r="I840">
        <v>1206726</v>
      </c>
      <c r="J840" t="s">
        <v>3263</v>
      </c>
      <c r="K840" t="s">
        <v>150</v>
      </c>
    </row>
    <row r="841" spans="1:11" x14ac:dyDescent="0.3">
      <c r="A841" t="s">
        <v>1837</v>
      </c>
      <c r="B841" t="s">
        <v>2096</v>
      </c>
      <c r="C841" t="s">
        <v>756</v>
      </c>
      <c r="D841" t="s">
        <v>4111</v>
      </c>
      <c r="E841" t="s">
        <v>3051</v>
      </c>
      <c r="F841" s="1" t="str">
        <f>HYPERLINK("http://ovidsp.ovid.com/ovidweb.cgi?T=JS&amp;NEWS=n&amp;CSC=Y&amp;PAGE=booktext&amp;D=books&amp;AN=01376504$&amp;XPATH=/PG(0)&amp;EPUB=Y","http://ovidsp.ovid.com/ovidweb.cgi?T=JS&amp;NEWS=n&amp;CSC=Y&amp;PAGE=booktext&amp;D=books&amp;AN=01376504$&amp;XPATH=/PG(0)&amp;EPUB=Y")</f>
        <v>http://ovidsp.ovid.com/ovidweb.cgi?T=JS&amp;NEWS=n&amp;CSC=Y&amp;PAGE=booktext&amp;D=books&amp;AN=01376504$&amp;XPATH=/PG(0)&amp;EPUB=Y</v>
      </c>
      <c r="G841" t="s">
        <v>2139</v>
      </c>
      <c r="H841" t="s">
        <v>2974</v>
      </c>
      <c r="I841">
        <v>1206726</v>
      </c>
      <c r="J841" t="s">
        <v>3263</v>
      </c>
      <c r="K841" t="s">
        <v>2460</v>
      </c>
    </row>
    <row r="842" spans="1:11" x14ac:dyDescent="0.3">
      <c r="A842" t="s">
        <v>1601</v>
      </c>
      <c r="B842" t="s">
        <v>3642</v>
      </c>
      <c r="C842" t="s">
        <v>1060</v>
      </c>
      <c r="D842" t="s">
        <v>4111</v>
      </c>
      <c r="E842" t="s">
        <v>2876</v>
      </c>
      <c r="F842" s="1" t="str">
        <f>HYPERLINK("http://ovidsp.ovid.com/ovidweb.cgi?T=JS&amp;NEWS=n&amp;CSC=Y&amp;PAGE=booktext&amp;D=books&amp;AN=01438043$&amp;XPATH=/PG(0)&amp;EPUB=Y","http://ovidsp.ovid.com/ovidweb.cgi?T=JS&amp;NEWS=n&amp;CSC=Y&amp;PAGE=booktext&amp;D=books&amp;AN=01438043$&amp;XPATH=/PG(0)&amp;EPUB=Y")</f>
        <v>http://ovidsp.ovid.com/ovidweb.cgi?T=JS&amp;NEWS=n&amp;CSC=Y&amp;PAGE=booktext&amp;D=books&amp;AN=01438043$&amp;XPATH=/PG(0)&amp;EPUB=Y</v>
      </c>
      <c r="G842" t="s">
        <v>2139</v>
      </c>
      <c r="H842" t="s">
        <v>2974</v>
      </c>
      <c r="I842">
        <v>1206726</v>
      </c>
      <c r="J842" t="s">
        <v>3263</v>
      </c>
      <c r="K842" t="s">
        <v>1270</v>
      </c>
    </row>
    <row r="843" spans="1:11" x14ac:dyDescent="0.3">
      <c r="A843" t="s">
        <v>2693</v>
      </c>
      <c r="B843" t="s">
        <v>1142</v>
      </c>
      <c r="C843" t="s">
        <v>2566</v>
      </c>
      <c r="D843" t="s">
        <v>4111</v>
      </c>
      <c r="E843" t="s">
        <v>2223</v>
      </c>
      <c r="F843" s="1" t="str">
        <f>HYPERLINK("http://ovidsp.ovid.com/ovidweb.cgi?T=JS&amp;NEWS=n&amp;CSC=Y&amp;PAGE=booktext&amp;D=books&amp;AN=01429610$&amp;XPATH=/PG(0)&amp;EPUB=Y","http://ovidsp.ovid.com/ovidweb.cgi?T=JS&amp;NEWS=n&amp;CSC=Y&amp;PAGE=booktext&amp;D=books&amp;AN=01429610$&amp;XPATH=/PG(0)&amp;EPUB=Y")</f>
        <v>http://ovidsp.ovid.com/ovidweb.cgi?T=JS&amp;NEWS=n&amp;CSC=Y&amp;PAGE=booktext&amp;D=books&amp;AN=01429610$&amp;XPATH=/PG(0)&amp;EPUB=Y</v>
      </c>
      <c r="G843" t="s">
        <v>2139</v>
      </c>
      <c r="H843" t="s">
        <v>2974</v>
      </c>
      <c r="I843">
        <v>1206726</v>
      </c>
      <c r="J843" t="s">
        <v>3263</v>
      </c>
      <c r="K843" t="s">
        <v>601</v>
      </c>
    </row>
    <row r="844" spans="1:11" x14ac:dyDescent="0.3">
      <c r="A844" t="s">
        <v>4066</v>
      </c>
      <c r="B844" t="s">
        <v>4371</v>
      </c>
      <c r="C844" t="s">
        <v>1126</v>
      </c>
      <c r="D844" t="s">
        <v>4111</v>
      </c>
      <c r="E844" t="s">
        <v>2223</v>
      </c>
      <c r="F844" s="1" t="str">
        <f>HYPERLINK("http://ovidsp.ovid.com/ovidweb.cgi?T=JS&amp;NEWS=n&amp;CSC=Y&amp;PAGE=booktext&amp;D=books&amp;AN=01382835$&amp;XPATH=/PG(0)&amp;EPUB=Y","http://ovidsp.ovid.com/ovidweb.cgi?T=JS&amp;NEWS=n&amp;CSC=Y&amp;PAGE=booktext&amp;D=books&amp;AN=01382835$&amp;XPATH=/PG(0)&amp;EPUB=Y")</f>
        <v>http://ovidsp.ovid.com/ovidweb.cgi?T=JS&amp;NEWS=n&amp;CSC=Y&amp;PAGE=booktext&amp;D=books&amp;AN=01382835$&amp;XPATH=/PG(0)&amp;EPUB=Y</v>
      </c>
      <c r="G844" t="s">
        <v>2139</v>
      </c>
      <c r="H844" t="s">
        <v>2974</v>
      </c>
      <c r="I844">
        <v>1206726</v>
      </c>
      <c r="J844" t="s">
        <v>3263</v>
      </c>
      <c r="K844" t="s">
        <v>589</v>
      </c>
    </row>
    <row r="845" spans="1:11" x14ac:dyDescent="0.3">
      <c r="A845" t="s">
        <v>2711</v>
      </c>
      <c r="B845" t="s">
        <v>2962</v>
      </c>
      <c r="C845" t="s">
        <v>934</v>
      </c>
      <c r="D845" t="s">
        <v>4111</v>
      </c>
      <c r="E845" t="s">
        <v>404</v>
      </c>
      <c r="F845" s="1" t="str">
        <f>HYPERLINK("http://ovidsp.ovid.com/ovidweb.cgi?T=JS&amp;NEWS=n&amp;CSC=Y&amp;PAGE=booktext&amp;D=books&amp;AN=01429611$&amp;XPATH=/PG(0)&amp;EPUB=Y","http://ovidsp.ovid.com/ovidweb.cgi?T=JS&amp;NEWS=n&amp;CSC=Y&amp;PAGE=booktext&amp;D=books&amp;AN=01429611$&amp;XPATH=/PG(0)&amp;EPUB=Y")</f>
        <v>http://ovidsp.ovid.com/ovidweb.cgi?T=JS&amp;NEWS=n&amp;CSC=Y&amp;PAGE=booktext&amp;D=books&amp;AN=01429611$&amp;XPATH=/PG(0)&amp;EPUB=Y</v>
      </c>
      <c r="G845" t="s">
        <v>2139</v>
      </c>
      <c r="H845" t="s">
        <v>2974</v>
      </c>
      <c r="I845">
        <v>1206726</v>
      </c>
      <c r="J845" t="s">
        <v>3263</v>
      </c>
      <c r="K845" t="s">
        <v>4605</v>
      </c>
    </row>
    <row r="846" spans="1:11" x14ac:dyDescent="0.3">
      <c r="A846" t="s">
        <v>2119</v>
      </c>
      <c r="B846" t="s">
        <v>4204</v>
      </c>
      <c r="C846" t="s">
        <v>2180</v>
      </c>
      <c r="D846" t="s">
        <v>4111</v>
      </c>
      <c r="E846" t="s">
        <v>2223</v>
      </c>
      <c r="F846" s="1" t="str">
        <f>HYPERLINK("http://ovidsp.ovid.com/ovidweb.cgi?T=JS&amp;NEWS=n&amp;CSC=Y&amp;PAGE=booktext&amp;D=books&amp;AN=01337568$&amp;XPATH=/PG(0)&amp;EPUB=Y","http://ovidsp.ovid.com/ovidweb.cgi?T=JS&amp;NEWS=n&amp;CSC=Y&amp;PAGE=booktext&amp;D=books&amp;AN=01337568$&amp;XPATH=/PG(0)&amp;EPUB=Y")</f>
        <v>http://ovidsp.ovid.com/ovidweb.cgi?T=JS&amp;NEWS=n&amp;CSC=Y&amp;PAGE=booktext&amp;D=books&amp;AN=01337568$&amp;XPATH=/PG(0)&amp;EPUB=Y</v>
      </c>
      <c r="G846" t="s">
        <v>2139</v>
      </c>
      <c r="H846" t="s">
        <v>2974</v>
      </c>
      <c r="I846">
        <v>1206726</v>
      </c>
      <c r="J846" t="s">
        <v>3263</v>
      </c>
      <c r="K846" t="s">
        <v>2967</v>
      </c>
    </row>
    <row r="847" spans="1:11" x14ac:dyDescent="0.3">
      <c r="A847" t="s">
        <v>3881</v>
      </c>
      <c r="B847" t="s">
        <v>1383</v>
      </c>
      <c r="C847" t="s">
        <v>562</v>
      </c>
      <c r="D847" t="s">
        <v>4111</v>
      </c>
      <c r="E847" t="s">
        <v>1595</v>
      </c>
      <c r="F847" s="1" t="str">
        <f>HYPERLINK("http://ovidsp.ovid.com/ovidweb.cgi?T=JS&amp;NEWS=n&amp;CSC=Y&amp;PAGE=booktext&amp;D=books&amp;AN=01429404$&amp;XPATH=/PG(0)&amp;EPUB=Y","http://ovidsp.ovid.com/ovidweb.cgi?T=JS&amp;NEWS=n&amp;CSC=Y&amp;PAGE=booktext&amp;D=books&amp;AN=01429404$&amp;XPATH=/PG(0)&amp;EPUB=Y")</f>
        <v>http://ovidsp.ovid.com/ovidweb.cgi?T=JS&amp;NEWS=n&amp;CSC=Y&amp;PAGE=booktext&amp;D=books&amp;AN=01429404$&amp;XPATH=/PG(0)&amp;EPUB=Y</v>
      </c>
      <c r="G847" t="s">
        <v>2139</v>
      </c>
      <c r="H847" t="s">
        <v>2974</v>
      </c>
      <c r="I847">
        <v>1206726</v>
      </c>
      <c r="J847" t="s">
        <v>3263</v>
      </c>
      <c r="K847" t="s">
        <v>3394</v>
      </c>
    </row>
    <row r="848" spans="1:11" x14ac:dyDescent="0.3">
      <c r="A848" t="s">
        <v>3230</v>
      </c>
      <c r="B848" t="s">
        <v>3854</v>
      </c>
      <c r="C848" t="s">
        <v>2378</v>
      </c>
      <c r="D848" t="s">
        <v>4111</v>
      </c>
      <c r="E848" t="s">
        <v>1595</v>
      </c>
      <c r="F848" s="1" t="str">
        <f>HYPERLINK("http://ovidsp.ovid.com/ovidweb.cgi?T=JS&amp;NEWS=n&amp;CSC=Y&amp;PAGE=booktext&amp;D=books&amp;AN=00140046$&amp;XPATH=/PG(0)&amp;EPUB=Y","http://ovidsp.ovid.com/ovidweb.cgi?T=JS&amp;NEWS=n&amp;CSC=Y&amp;PAGE=booktext&amp;D=books&amp;AN=00140046$&amp;XPATH=/PG(0)&amp;EPUB=Y")</f>
        <v>http://ovidsp.ovid.com/ovidweb.cgi?T=JS&amp;NEWS=n&amp;CSC=Y&amp;PAGE=booktext&amp;D=books&amp;AN=00140046$&amp;XPATH=/PG(0)&amp;EPUB=Y</v>
      </c>
      <c r="G848" t="s">
        <v>2139</v>
      </c>
      <c r="H848" t="s">
        <v>2974</v>
      </c>
      <c r="I848">
        <v>1206726</v>
      </c>
      <c r="J848" t="s">
        <v>3263</v>
      </c>
      <c r="K848" t="s">
        <v>2397</v>
      </c>
    </row>
    <row r="849" spans="1:11" x14ac:dyDescent="0.3">
      <c r="A849" t="s">
        <v>2356</v>
      </c>
      <c r="B849" t="s">
        <v>4524</v>
      </c>
      <c r="C849" t="s">
        <v>670</v>
      </c>
      <c r="D849" t="s">
        <v>4111</v>
      </c>
      <c r="E849" t="s">
        <v>2876</v>
      </c>
      <c r="F849" s="1" t="str">
        <f>HYPERLINK("http://ovidsp.ovid.com/ovidweb.cgi?T=JS&amp;NEWS=n&amp;CSC=Y&amp;PAGE=booktext&amp;D=books&amp;AN=01223028$&amp;XPATH=/PG(0)&amp;EPUB=Y","http://ovidsp.ovid.com/ovidweb.cgi?T=JS&amp;NEWS=n&amp;CSC=Y&amp;PAGE=booktext&amp;D=books&amp;AN=01223028$&amp;XPATH=/PG(0)&amp;EPUB=Y")</f>
        <v>http://ovidsp.ovid.com/ovidweb.cgi?T=JS&amp;NEWS=n&amp;CSC=Y&amp;PAGE=booktext&amp;D=books&amp;AN=01223028$&amp;XPATH=/PG(0)&amp;EPUB=Y</v>
      </c>
      <c r="G849" t="s">
        <v>2139</v>
      </c>
      <c r="H849" t="s">
        <v>2974</v>
      </c>
      <c r="I849">
        <v>1206726</v>
      </c>
      <c r="J849" t="s">
        <v>3263</v>
      </c>
      <c r="K849" t="s">
        <v>2683</v>
      </c>
    </row>
    <row r="850" spans="1:11" x14ac:dyDescent="0.3">
      <c r="A850" t="s">
        <v>2356</v>
      </c>
      <c r="B850" t="s">
        <v>3988</v>
      </c>
      <c r="C850" t="s">
        <v>3424</v>
      </c>
      <c r="D850" t="s">
        <v>4111</v>
      </c>
      <c r="E850" t="s">
        <v>404</v>
      </c>
      <c r="F850" s="1" t="str">
        <f>HYPERLINK("http://ovidsp.ovid.com/ovidweb.cgi?T=JS&amp;NEWS=n&amp;CSC=Y&amp;PAGE=booktext&amp;D=books&amp;AN=00139980$&amp;XPATH=/PG(0)&amp;EPUB=Y","http://ovidsp.ovid.com/ovidweb.cgi?T=JS&amp;NEWS=n&amp;CSC=Y&amp;PAGE=booktext&amp;D=books&amp;AN=00139980$&amp;XPATH=/PG(0)&amp;EPUB=Y")</f>
        <v>http://ovidsp.ovid.com/ovidweb.cgi?T=JS&amp;NEWS=n&amp;CSC=Y&amp;PAGE=booktext&amp;D=books&amp;AN=00139980$&amp;XPATH=/PG(0)&amp;EPUB=Y</v>
      </c>
      <c r="G850" t="s">
        <v>2139</v>
      </c>
      <c r="H850" t="s">
        <v>2974</v>
      </c>
      <c r="I850">
        <v>1206726</v>
      </c>
      <c r="J850" t="s">
        <v>3263</v>
      </c>
      <c r="K850" t="s">
        <v>2475</v>
      </c>
    </row>
    <row r="851" spans="1:11" x14ac:dyDescent="0.3">
      <c r="A851" t="s">
        <v>4409</v>
      </c>
      <c r="B851" t="s">
        <v>1682</v>
      </c>
      <c r="C851" t="s">
        <v>4296</v>
      </c>
      <c r="D851" t="s">
        <v>4111</v>
      </c>
      <c r="E851" t="s">
        <v>2223</v>
      </c>
      <c r="F851" s="1" t="str">
        <f>HYPERLINK("http://ovidsp.ovid.com/ovidweb.cgi?T=JS&amp;NEWS=n&amp;CSC=Y&amp;PAGE=booktext&amp;D=books&amp;AN=01337569$&amp;XPATH=/PG(0)&amp;EPUB=Y","http://ovidsp.ovid.com/ovidweb.cgi?T=JS&amp;NEWS=n&amp;CSC=Y&amp;PAGE=booktext&amp;D=books&amp;AN=01337569$&amp;XPATH=/PG(0)&amp;EPUB=Y")</f>
        <v>http://ovidsp.ovid.com/ovidweb.cgi?T=JS&amp;NEWS=n&amp;CSC=Y&amp;PAGE=booktext&amp;D=books&amp;AN=01337569$&amp;XPATH=/PG(0)&amp;EPUB=Y</v>
      </c>
      <c r="G851" t="s">
        <v>2139</v>
      </c>
      <c r="H851" t="s">
        <v>2974</v>
      </c>
      <c r="I851">
        <v>1206726</v>
      </c>
      <c r="J851" t="s">
        <v>3263</v>
      </c>
      <c r="K851" t="s">
        <v>4621</v>
      </c>
    </row>
    <row r="852" spans="1:11" x14ac:dyDescent="0.3">
      <c r="A852" t="s">
        <v>3431</v>
      </c>
      <c r="B852" t="s">
        <v>1594</v>
      </c>
      <c r="C852" t="s">
        <v>1854</v>
      </c>
      <c r="D852" t="s">
        <v>4111</v>
      </c>
      <c r="E852" t="s">
        <v>1104</v>
      </c>
      <c r="F852" s="1" t="str">
        <f>HYPERLINK("http://ovidsp.ovid.com/ovidweb.cgi?T=JS&amp;NEWS=n&amp;CSC=Y&amp;PAGE=booktext&amp;D=books&amp;AN=00139981$&amp;XPATH=/PG(0)&amp;EPUB=Y","http://ovidsp.ovid.com/ovidweb.cgi?T=JS&amp;NEWS=n&amp;CSC=Y&amp;PAGE=booktext&amp;D=books&amp;AN=00139981$&amp;XPATH=/PG(0)&amp;EPUB=Y")</f>
        <v>http://ovidsp.ovid.com/ovidweb.cgi?T=JS&amp;NEWS=n&amp;CSC=Y&amp;PAGE=booktext&amp;D=books&amp;AN=00139981$&amp;XPATH=/PG(0)&amp;EPUB=Y</v>
      </c>
      <c r="G852" t="s">
        <v>2139</v>
      </c>
      <c r="H852" t="s">
        <v>2974</v>
      </c>
      <c r="I852">
        <v>1206726</v>
      </c>
      <c r="J852" t="s">
        <v>3263</v>
      </c>
      <c r="K852" t="s">
        <v>4656</v>
      </c>
    </row>
    <row r="853" spans="1:11" x14ac:dyDescent="0.3">
      <c r="A853" t="s">
        <v>1798</v>
      </c>
      <c r="B853" t="s">
        <v>367</v>
      </c>
      <c r="C853" t="s">
        <v>3779</v>
      </c>
      <c r="D853" t="s">
        <v>4111</v>
      </c>
      <c r="E853" t="s">
        <v>2223</v>
      </c>
      <c r="F853" s="1" t="str">
        <f>HYPERLINK("http://ovidsp.ovid.com/ovidweb.cgi?T=JS&amp;NEWS=n&amp;CSC=Y&amp;PAGE=booktext&amp;D=books&amp;AN=01382634$&amp;XPATH=/PG(0)&amp;EPUB=Y","http://ovidsp.ovid.com/ovidweb.cgi?T=JS&amp;NEWS=n&amp;CSC=Y&amp;PAGE=booktext&amp;D=books&amp;AN=01382634$&amp;XPATH=/PG(0)&amp;EPUB=Y")</f>
        <v>http://ovidsp.ovid.com/ovidweb.cgi?T=JS&amp;NEWS=n&amp;CSC=Y&amp;PAGE=booktext&amp;D=books&amp;AN=01382634$&amp;XPATH=/PG(0)&amp;EPUB=Y</v>
      </c>
      <c r="G853" t="s">
        <v>2139</v>
      </c>
      <c r="H853" t="s">
        <v>2974</v>
      </c>
      <c r="I853">
        <v>1206726</v>
      </c>
      <c r="J853" t="s">
        <v>3263</v>
      </c>
      <c r="K853" t="s">
        <v>151</v>
      </c>
    </row>
    <row r="854" spans="1:11" x14ac:dyDescent="0.3">
      <c r="A854" t="s">
        <v>1271</v>
      </c>
      <c r="B854" t="s">
        <v>3161</v>
      </c>
      <c r="C854" t="s">
        <v>1779</v>
      </c>
      <c r="D854" t="s">
        <v>4111</v>
      </c>
      <c r="E854" t="s">
        <v>2223</v>
      </c>
      <c r="F854" s="1" t="str">
        <f>HYPERLINK("http://ovidsp.ovid.com/ovidweb.cgi?T=JS&amp;NEWS=n&amp;CSC=Y&amp;PAGE=booktext&amp;D=books&amp;AN=01279757$&amp;XPATH=/PG(0)&amp;EPUB=Y","http://ovidsp.ovid.com/ovidweb.cgi?T=JS&amp;NEWS=n&amp;CSC=Y&amp;PAGE=booktext&amp;D=books&amp;AN=01279757$&amp;XPATH=/PG(0)&amp;EPUB=Y")</f>
        <v>http://ovidsp.ovid.com/ovidweb.cgi?T=JS&amp;NEWS=n&amp;CSC=Y&amp;PAGE=booktext&amp;D=books&amp;AN=01279757$&amp;XPATH=/PG(0)&amp;EPUB=Y</v>
      </c>
      <c r="G854" t="s">
        <v>2139</v>
      </c>
      <c r="H854" t="s">
        <v>2974</v>
      </c>
      <c r="I854">
        <v>1206726</v>
      </c>
      <c r="J854" t="s">
        <v>3263</v>
      </c>
      <c r="K854" t="s">
        <v>2546</v>
      </c>
    </row>
    <row r="855" spans="1:11" x14ac:dyDescent="0.3">
      <c r="A855" t="s">
        <v>3956</v>
      </c>
      <c r="B855" t="s">
        <v>113</v>
      </c>
      <c r="C855" t="s">
        <v>192</v>
      </c>
      <c r="D855" t="s">
        <v>4111</v>
      </c>
      <c r="E855" t="s">
        <v>2223</v>
      </c>
      <c r="F855" s="1" t="str">
        <f>HYPERLINK("http://ovidsp.ovid.com/ovidweb.cgi?T=JS&amp;NEWS=n&amp;CSC=Y&amp;PAGE=booktext&amp;D=books&amp;AN=01382635$&amp;XPATH=/PG(0)&amp;EPUB=Y","http://ovidsp.ovid.com/ovidweb.cgi?T=JS&amp;NEWS=n&amp;CSC=Y&amp;PAGE=booktext&amp;D=books&amp;AN=01382635$&amp;XPATH=/PG(0)&amp;EPUB=Y")</f>
        <v>http://ovidsp.ovid.com/ovidweb.cgi?T=JS&amp;NEWS=n&amp;CSC=Y&amp;PAGE=booktext&amp;D=books&amp;AN=01382635$&amp;XPATH=/PG(0)&amp;EPUB=Y</v>
      </c>
      <c r="G855" t="s">
        <v>2139</v>
      </c>
      <c r="H855" t="s">
        <v>2974</v>
      </c>
      <c r="I855">
        <v>1206726</v>
      </c>
      <c r="J855" t="s">
        <v>3263</v>
      </c>
      <c r="K855" t="s">
        <v>352</v>
      </c>
    </row>
    <row r="856" spans="1:11" x14ac:dyDescent="0.3">
      <c r="A856" t="s">
        <v>14</v>
      </c>
      <c r="B856" t="s">
        <v>4617</v>
      </c>
      <c r="C856" t="s">
        <v>1629</v>
      </c>
      <c r="D856" t="s">
        <v>4111</v>
      </c>
      <c r="E856" t="s">
        <v>404</v>
      </c>
      <c r="F856" s="1" t="str">
        <f>HYPERLINK("http://ovidsp.ovid.com/ovidweb.cgi?T=JS&amp;NEWS=n&amp;CSC=Y&amp;PAGE=booktext&amp;D=books&amp;AN=01436894$&amp;XPATH=/PG(0)&amp;EPUB=Y","http://ovidsp.ovid.com/ovidweb.cgi?T=JS&amp;NEWS=n&amp;CSC=Y&amp;PAGE=booktext&amp;D=books&amp;AN=01436894$&amp;XPATH=/PG(0)&amp;EPUB=Y")</f>
        <v>http://ovidsp.ovid.com/ovidweb.cgi?T=JS&amp;NEWS=n&amp;CSC=Y&amp;PAGE=booktext&amp;D=books&amp;AN=01436894$&amp;XPATH=/PG(0)&amp;EPUB=Y</v>
      </c>
      <c r="G856" t="s">
        <v>2139</v>
      </c>
      <c r="H856" t="s">
        <v>2974</v>
      </c>
      <c r="I856">
        <v>1206726</v>
      </c>
      <c r="J856" t="s">
        <v>3263</v>
      </c>
      <c r="K856" t="s">
        <v>2721</v>
      </c>
    </row>
    <row r="857" spans="1:11" x14ac:dyDescent="0.3">
      <c r="A857" t="s">
        <v>3425</v>
      </c>
      <c r="B857" t="s">
        <v>3091</v>
      </c>
      <c r="C857" t="s">
        <v>4067</v>
      </c>
      <c r="D857" t="s">
        <v>4111</v>
      </c>
      <c r="E857" t="s">
        <v>404</v>
      </c>
      <c r="F857" s="1" t="str">
        <f>HYPERLINK("http://ovidsp.ovid.com/ovidweb.cgi?T=JS&amp;NEWS=n&amp;CSC=Y&amp;PAGE=booktext&amp;D=books&amp;AN=01382636$&amp;XPATH=/PG(0)&amp;EPUB=Y","http://ovidsp.ovid.com/ovidweb.cgi?T=JS&amp;NEWS=n&amp;CSC=Y&amp;PAGE=booktext&amp;D=books&amp;AN=01382636$&amp;XPATH=/PG(0)&amp;EPUB=Y")</f>
        <v>http://ovidsp.ovid.com/ovidweb.cgi?T=JS&amp;NEWS=n&amp;CSC=Y&amp;PAGE=booktext&amp;D=books&amp;AN=01382636$&amp;XPATH=/PG(0)&amp;EPUB=Y</v>
      </c>
      <c r="G857" t="s">
        <v>2139</v>
      </c>
      <c r="H857" t="s">
        <v>2974</v>
      </c>
      <c r="I857">
        <v>1206726</v>
      </c>
      <c r="J857" t="s">
        <v>3263</v>
      </c>
      <c r="K857" t="s">
        <v>2265</v>
      </c>
    </row>
    <row r="858" spans="1:11" x14ac:dyDescent="0.3">
      <c r="A858" t="s">
        <v>2778</v>
      </c>
      <c r="B858" t="s">
        <v>425</v>
      </c>
      <c r="C858" t="s">
        <v>1322</v>
      </c>
      <c r="D858" t="s">
        <v>4111</v>
      </c>
      <c r="E858" t="s">
        <v>2876</v>
      </c>
      <c r="F858" s="1" t="str">
        <f>HYPERLINK("http://ovidsp.ovid.com/ovidweb.cgi?T=JS&amp;NEWS=n&amp;CSC=Y&amp;PAGE=booktext&amp;D=books&amp;AN=01223029$&amp;XPATH=/PG(0)&amp;EPUB=Y","http://ovidsp.ovid.com/ovidweb.cgi?T=JS&amp;NEWS=n&amp;CSC=Y&amp;PAGE=booktext&amp;D=books&amp;AN=01223029$&amp;XPATH=/PG(0)&amp;EPUB=Y")</f>
        <v>http://ovidsp.ovid.com/ovidweb.cgi?T=JS&amp;NEWS=n&amp;CSC=Y&amp;PAGE=booktext&amp;D=books&amp;AN=01223029$&amp;XPATH=/PG(0)&amp;EPUB=Y</v>
      </c>
      <c r="G858" t="s">
        <v>2139</v>
      </c>
      <c r="H858" t="s">
        <v>2974</v>
      </c>
      <c r="I858">
        <v>1206726</v>
      </c>
      <c r="J858" t="s">
        <v>3263</v>
      </c>
      <c r="K858" t="s">
        <v>2674</v>
      </c>
    </row>
    <row r="859" spans="1:11" x14ac:dyDescent="0.3">
      <c r="A859" t="s">
        <v>1053</v>
      </c>
      <c r="B859" t="s">
        <v>2411</v>
      </c>
      <c r="C859" t="s">
        <v>1630</v>
      </c>
      <c r="D859" t="s">
        <v>4111</v>
      </c>
      <c r="E859" t="s">
        <v>3051</v>
      </c>
      <c r="F859" s="1" t="str">
        <f>HYPERLINK("http://ovidsp.ovid.com/ovidweb.cgi?T=JS&amp;NEWS=n&amp;CSC=Y&amp;PAGE=booktext&amp;D=books&amp;AN=01382638$&amp;XPATH=/PG(0)&amp;EPUB=Y","http://ovidsp.ovid.com/ovidweb.cgi?T=JS&amp;NEWS=n&amp;CSC=Y&amp;PAGE=booktext&amp;D=books&amp;AN=01382638$&amp;XPATH=/PG(0)&amp;EPUB=Y")</f>
        <v>http://ovidsp.ovid.com/ovidweb.cgi?T=JS&amp;NEWS=n&amp;CSC=Y&amp;PAGE=booktext&amp;D=books&amp;AN=01382638$&amp;XPATH=/PG(0)&amp;EPUB=Y</v>
      </c>
      <c r="G859" t="s">
        <v>2139</v>
      </c>
      <c r="H859" t="s">
        <v>2974</v>
      </c>
      <c r="I859">
        <v>1206726</v>
      </c>
      <c r="J859" t="s">
        <v>3263</v>
      </c>
      <c r="K859" t="s">
        <v>3398</v>
      </c>
    </row>
    <row r="860" spans="1:11" x14ac:dyDescent="0.3">
      <c r="A860" t="s">
        <v>1053</v>
      </c>
      <c r="B860" t="s">
        <v>4411</v>
      </c>
      <c r="C860" t="s">
        <v>477</v>
      </c>
      <c r="D860" t="s">
        <v>4111</v>
      </c>
      <c r="E860" t="s">
        <v>2876</v>
      </c>
      <c r="F860" s="1" t="str">
        <f>HYPERLINK("http://ovidsp.ovid.com/ovidweb.cgi?T=JS&amp;NEWS=n&amp;CSC=Y&amp;PAGE=booktext&amp;D=books&amp;AN=01438880$&amp;XPATH=/PG(0)&amp;EPUB=Y","http://ovidsp.ovid.com/ovidweb.cgi?T=JS&amp;NEWS=n&amp;CSC=Y&amp;PAGE=booktext&amp;D=books&amp;AN=01438880$&amp;XPATH=/PG(0)&amp;EPUB=Y")</f>
        <v>http://ovidsp.ovid.com/ovidweb.cgi?T=JS&amp;NEWS=n&amp;CSC=Y&amp;PAGE=booktext&amp;D=books&amp;AN=01438880$&amp;XPATH=/PG(0)&amp;EPUB=Y</v>
      </c>
      <c r="G860" t="s">
        <v>2139</v>
      </c>
      <c r="H860" t="s">
        <v>2974</v>
      </c>
      <c r="I860">
        <v>1206726</v>
      </c>
      <c r="J860" t="s">
        <v>3263</v>
      </c>
      <c r="K860" t="s">
        <v>3402</v>
      </c>
    </row>
    <row r="861" spans="1:11" x14ac:dyDescent="0.3">
      <c r="A861" t="s">
        <v>993</v>
      </c>
      <c r="B861" t="s">
        <v>4415</v>
      </c>
      <c r="C861" t="s">
        <v>2254</v>
      </c>
      <c r="D861" t="s">
        <v>4111</v>
      </c>
      <c r="E861" t="s">
        <v>2223</v>
      </c>
      <c r="F861" s="1" t="str">
        <f>HYPERLINK("http://ovidsp.ovid.com/ovidweb.cgi?T=JS&amp;NEWS=n&amp;CSC=Y&amp;PAGE=booktext&amp;D=books&amp;AN=01279758$&amp;XPATH=/PG(0)&amp;EPUB=Y","http://ovidsp.ovid.com/ovidweb.cgi?T=JS&amp;NEWS=n&amp;CSC=Y&amp;PAGE=booktext&amp;D=books&amp;AN=01279758$&amp;XPATH=/PG(0)&amp;EPUB=Y")</f>
        <v>http://ovidsp.ovid.com/ovidweb.cgi?T=JS&amp;NEWS=n&amp;CSC=Y&amp;PAGE=booktext&amp;D=books&amp;AN=01279758$&amp;XPATH=/PG(0)&amp;EPUB=Y</v>
      </c>
      <c r="G861" t="s">
        <v>2139</v>
      </c>
      <c r="H861" t="s">
        <v>2974</v>
      </c>
      <c r="I861">
        <v>1206726</v>
      </c>
      <c r="J861" t="s">
        <v>3263</v>
      </c>
      <c r="K861" t="s">
        <v>3766</v>
      </c>
    </row>
    <row r="862" spans="1:11" x14ac:dyDescent="0.3">
      <c r="A862" t="s">
        <v>3978</v>
      </c>
      <c r="B862" t="s">
        <v>415</v>
      </c>
      <c r="C862" t="s">
        <v>4464</v>
      </c>
      <c r="D862" t="s">
        <v>4111</v>
      </c>
      <c r="E862" t="s">
        <v>2223</v>
      </c>
      <c r="F862" s="1" t="str">
        <f>HYPERLINK("http://ovidsp.ovid.com/ovidweb.cgi?T=JS&amp;NEWS=n&amp;CSC=Y&amp;PAGE=booktext&amp;D=books&amp;AN=01279759$&amp;XPATH=/PG(0)&amp;EPUB=Y","http://ovidsp.ovid.com/ovidweb.cgi?T=JS&amp;NEWS=n&amp;CSC=Y&amp;PAGE=booktext&amp;D=books&amp;AN=01279759$&amp;XPATH=/PG(0)&amp;EPUB=Y")</f>
        <v>http://ovidsp.ovid.com/ovidweb.cgi?T=JS&amp;NEWS=n&amp;CSC=Y&amp;PAGE=booktext&amp;D=books&amp;AN=01279759$&amp;XPATH=/PG(0)&amp;EPUB=Y</v>
      </c>
      <c r="G862" t="s">
        <v>2139</v>
      </c>
      <c r="H862" t="s">
        <v>2974</v>
      </c>
      <c r="I862">
        <v>1206726</v>
      </c>
      <c r="J862" t="s">
        <v>3263</v>
      </c>
      <c r="K862" t="s">
        <v>3922</v>
      </c>
    </row>
    <row r="863" spans="1:11" x14ac:dyDescent="0.3">
      <c r="A863" t="s">
        <v>3602</v>
      </c>
      <c r="B863" t="s">
        <v>418</v>
      </c>
      <c r="C863" t="s">
        <v>1192</v>
      </c>
      <c r="D863" t="s">
        <v>4111</v>
      </c>
      <c r="E863" t="s">
        <v>404</v>
      </c>
      <c r="F863" s="1" t="str">
        <f>HYPERLINK("http://ovidsp.ovid.com/ovidweb.cgi?T=JS&amp;NEWS=n&amp;CSC=Y&amp;PAGE=booktext&amp;D=books&amp;AN=01382640$&amp;XPATH=/PG(0)&amp;EPUB=Y","http://ovidsp.ovid.com/ovidweb.cgi?T=JS&amp;NEWS=n&amp;CSC=Y&amp;PAGE=booktext&amp;D=books&amp;AN=01382640$&amp;XPATH=/PG(0)&amp;EPUB=Y")</f>
        <v>http://ovidsp.ovid.com/ovidweb.cgi?T=JS&amp;NEWS=n&amp;CSC=Y&amp;PAGE=booktext&amp;D=books&amp;AN=01382640$&amp;XPATH=/PG(0)&amp;EPUB=Y</v>
      </c>
      <c r="G863" t="s">
        <v>2139</v>
      </c>
      <c r="H863" t="s">
        <v>2974</v>
      </c>
      <c r="I863">
        <v>1206726</v>
      </c>
      <c r="J863" t="s">
        <v>3263</v>
      </c>
      <c r="K863" t="s">
        <v>4014</v>
      </c>
    </row>
    <row r="864" spans="1:11" x14ac:dyDescent="0.3">
      <c r="A864" t="s">
        <v>77</v>
      </c>
      <c r="B864" t="s">
        <v>1111</v>
      </c>
      <c r="C864" t="s">
        <v>2613</v>
      </c>
      <c r="D864" t="s">
        <v>4111</v>
      </c>
      <c r="E864" t="s">
        <v>3051</v>
      </c>
      <c r="F864" s="1" t="str">
        <f>HYPERLINK("http://ovidsp.ovid.com/ovidweb.cgi?T=JS&amp;NEWS=n&amp;CSC=Y&amp;PAGE=booktext&amp;D=books&amp;AN=01382878$&amp;XPATH=/PG(0)&amp;EPUB=Y","http://ovidsp.ovid.com/ovidweb.cgi?T=JS&amp;NEWS=n&amp;CSC=Y&amp;PAGE=booktext&amp;D=books&amp;AN=01382878$&amp;XPATH=/PG(0)&amp;EPUB=Y")</f>
        <v>http://ovidsp.ovid.com/ovidweb.cgi?T=JS&amp;NEWS=n&amp;CSC=Y&amp;PAGE=booktext&amp;D=books&amp;AN=01382878$&amp;XPATH=/PG(0)&amp;EPUB=Y</v>
      </c>
      <c r="G864" t="s">
        <v>2139</v>
      </c>
      <c r="H864" t="s">
        <v>2974</v>
      </c>
      <c r="I864">
        <v>1206726</v>
      </c>
      <c r="J864" t="s">
        <v>3263</v>
      </c>
      <c r="K864" t="s">
        <v>494</v>
      </c>
    </row>
    <row r="865" spans="1:11" x14ac:dyDescent="0.3">
      <c r="A865" t="s">
        <v>1326</v>
      </c>
      <c r="B865" t="s">
        <v>556</v>
      </c>
      <c r="C865" t="s">
        <v>1482</v>
      </c>
      <c r="D865" t="s">
        <v>4111</v>
      </c>
      <c r="E865" t="s">
        <v>2223</v>
      </c>
      <c r="F865" s="1" t="str">
        <f>HYPERLINK("http://ovidsp.ovid.com/ovidweb.cgi?T=JS&amp;NEWS=n&amp;CSC=Y&amp;PAGE=booktext&amp;D=books&amp;AN=01382880$&amp;XPATH=/PG(0)&amp;EPUB=Y","http://ovidsp.ovid.com/ovidweb.cgi?T=JS&amp;NEWS=n&amp;CSC=Y&amp;PAGE=booktext&amp;D=books&amp;AN=01382880$&amp;XPATH=/PG(0)&amp;EPUB=Y")</f>
        <v>http://ovidsp.ovid.com/ovidweb.cgi?T=JS&amp;NEWS=n&amp;CSC=Y&amp;PAGE=booktext&amp;D=books&amp;AN=01382880$&amp;XPATH=/PG(0)&amp;EPUB=Y</v>
      </c>
      <c r="G865" t="s">
        <v>2139</v>
      </c>
      <c r="H865" t="s">
        <v>2974</v>
      </c>
      <c r="I865">
        <v>1206726</v>
      </c>
      <c r="J865" t="s">
        <v>3263</v>
      </c>
      <c r="K865" t="s">
        <v>2336</v>
      </c>
    </row>
    <row r="866" spans="1:11" x14ac:dyDescent="0.3">
      <c r="A866" t="s">
        <v>4527</v>
      </c>
      <c r="B866" t="s">
        <v>2024</v>
      </c>
      <c r="C866" t="s">
        <v>695</v>
      </c>
      <c r="D866" t="s">
        <v>4111</v>
      </c>
      <c r="E866" t="s">
        <v>2223</v>
      </c>
      <c r="F866" s="1" t="str">
        <f>HYPERLINK("http://ovidsp.ovid.com/ovidweb.cgi?T=JS&amp;NEWS=n&amp;CSC=Y&amp;PAGE=booktext&amp;D=books&amp;AN=00139983$&amp;XPATH=/PG(0)&amp;EPUB=Y","http://ovidsp.ovid.com/ovidweb.cgi?T=JS&amp;NEWS=n&amp;CSC=Y&amp;PAGE=booktext&amp;D=books&amp;AN=00139983$&amp;XPATH=/PG(0)&amp;EPUB=Y")</f>
        <v>http://ovidsp.ovid.com/ovidweb.cgi?T=JS&amp;NEWS=n&amp;CSC=Y&amp;PAGE=booktext&amp;D=books&amp;AN=00139983$&amp;XPATH=/PG(0)&amp;EPUB=Y</v>
      </c>
      <c r="G866" t="s">
        <v>2139</v>
      </c>
      <c r="H866" t="s">
        <v>2974</v>
      </c>
      <c r="I866">
        <v>1206726</v>
      </c>
      <c r="J866" t="s">
        <v>3263</v>
      </c>
      <c r="K866" t="s">
        <v>446</v>
      </c>
    </row>
    <row r="867" spans="1:11" x14ac:dyDescent="0.3">
      <c r="A867" t="s">
        <v>2075</v>
      </c>
      <c r="B867" t="s">
        <v>2995</v>
      </c>
      <c r="C867" t="s">
        <v>3175</v>
      </c>
      <c r="D867" t="s">
        <v>4111</v>
      </c>
      <c r="E867" t="s">
        <v>2223</v>
      </c>
      <c r="F867" s="1" t="str">
        <f>HYPERLINK("http://ovidsp.ovid.com/ovidweb.cgi?T=JS&amp;NEWS=n&amp;CSC=Y&amp;PAGE=booktext&amp;D=books&amp;AN=00139984$&amp;XPATH=/PG(0)&amp;EPUB=Y","http://ovidsp.ovid.com/ovidweb.cgi?T=JS&amp;NEWS=n&amp;CSC=Y&amp;PAGE=booktext&amp;D=books&amp;AN=00139984$&amp;XPATH=/PG(0)&amp;EPUB=Y")</f>
        <v>http://ovidsp.ovid.com/ovidweb.cgi?T=JS&amp;NEWS=n&amp;CSC=Y&amp;PAGE=booktext&amp;D=books&amp;AN=00139984$&amp;XPATH=/PG(0)&amp;EPUB=Y</v>
      </c>
      <c r="G867" t="s">
        <v>2139</v>
      </c>
      <c r="H867" t="s">
        <v>2974</v>
      </c>
      <c r="I867">
        <v>1206726</v>
      </c>
      <c r="J867" t="s">
        <v>3263</v>
      </c>
      <c r="K867" t="s">
        <v>539</v>
      </c>
    </row>
    <row r="868" spans="1:11" x14ac:dyDescent="0.3">
      <c r="A868" t="s">
        <v>330</v>
      </c>
      <c r="B868" t="s">
        <v>461</v>
      </c>
      <c r="C868" t="s">
        <v>3154</v>
      </c>
      <c r="D868" t="s">
        <v>4111</v>
      </c>
      <c r="E868" t="s">
        <v>3051</v>
      </c>
      <c r="F868" s="1" t="str">
        <f>HYPERLINK("http://ovidsp.ovid.com/ovidweb.cgi?T=JS&amp;NEWS=n&amp;CSC=Y&amp;PAGE=booktext&amp;D=books&amp;AN=01223030$&amp;XPATH=/PG(0)&amp;EPUB=Y","http://ovidsp.ovid.com/ovidweb.cgi?T=JS&amp;NEWS=n&amp;CSC=Y&amp;PAGE=booktext&amp;D=books&amp;AN=01223030$&amp;XPATH=/PG(0)&amp;EPUB=Y")</f>
        <v>http://ovidsp.ovid.com/ovidweb.cgi?T=JS&amp;NEWS=n&amp;CSC=Y&amp;PAGE=booktext&amp;D=books&amp;AN=01223030$&amp;XPATH=/PG(0)&amp;EPUB=Y</v>
      </c>
      <c r="G868" t="s">
        <v>2139</v>
      </c>
      <c r="H868" t="s">
        <v>2974</v>
      </c>
      <c r="I868">
        <v>1206726</v>
      </c>
      <c r="J868" t="s">
        <v>3263</v>
      </c>
      <c r="K868" t="s">
        <v>4452</v>
      </c>
    </row>
    <row r="869" spans="1:11" x14ac:dyDescent="0.3">
      <c r="A869" t="s">
        <v>330</v>
      </c>
      <c r="B869" t="s">
        <v>52</v>
      </c>
      <c r="C869" t="s">
        <v>63</v>
      </c>
      <c r="D869" t="s">
        <v>4111</v>
      </c>
      <c r="E869" t="s">
        <v>2876</v>
      </c>
      <c r="F869" s="1" t="str">
        <f>HYPERLINK("http://ovidsp.ovid.com/ovidweb.cgi?T=JS&amp;NEWS=n&amp;CSC=Y&amp;PAGE=booktext&amp;D=books&amp;AN=01437559$&amp;XPATH=/PG(0)&amp;EPUB=Y","http://ovidsp.ovid.com/ovidweb.cgi?T=JS&amp;NEWS=n&amp;CSC=Y&amp;PAGE=booktext&amp;D=books&amp;AN=01437559$&amp;XPATH=/PG(0)&amp;EPUB=Y")</f>
        <v>http://ovidsp.ovid.com/ovidweb.cgi?T=JS&amp;NEWS=n&amp;CSC=Y&amp;PAGE=booktext&amp;D=books&amp;AN=01437559$&amp;XPATH=/PG(0)&amp;EPUB=Y</v>
      </c>
      <c r="G869" t="s">
        <v>2139</v>
      </c>
      <c r="H869" t="s">
        <v>2974</v>
      </c>
      <c r="I869">
        <v>1206726</v>
      </c>
      <c r="J869" t="s">
        <v>3263</v>
      </c>
      <c r="K869" t="s">
        <v>2362</v>
      </c>
    </row>
    <row r="870" spans="1:11" x14ac:dyDescent="0.3">
      <c r="A870" t="s">
        <v>3446</v>
      </c>
      <c r="B870" t="s">
        <v>2858</v>
      </c>
      <c r="C870" t="s">
        <v>2675</v>
      </c>
      <c r="D870" t="s">
        <v>4111</v>
      </c>
      <c r="E870" t="s">
        <v>2223</v>
      </c>
      <c r="F870" s="1" t="str">
        <f>HYPERLINK("http://ovidsp.ovid.com/ovidweb.cgi?T=JS&amp;NEWS=n&amp;CSC=Y&amp;PAGE=booktext&amp;D=books&amp;AN=01382642$&amp;XPATH=/PG(0)&amp;EPUB=Y","http://ovidsp.ovid.com/ovidweb.cgi?T=JS&amp;NEWS=n&amp;CSC=Y&amp;PAGE=booktext&amp;D=books&amp;AN=01382642$&amp;XPATH=/PG(0)&amp;EPUB=Y")</f>
        <v>http://ovidsp.ovid.com/ovidweb.cgi?T=JS&amp;NEWS=n&amp;CSC=Y&amp;PAGE=booktext&amp;D=books&amp;AN=01382642$&amp;XPATH=/PG(0)&amp;EPUB=Y</v>
      </c>
      <c r="G870" t="s">
        <v>2139</v>
      </c>
      <c r="H870" t="s">
        <v>2974</v>
      </c>
      <c r="I870">
        <v>1206726</v>
      </c>
      <c r="J870" t="s">
        <v>3263</v>
      </c>
      <c r="K870" t="s">
        <v>3404</v>
      </c>
    </row>
    <row r="871" spans="1:11" x14ac:dyDescent="0.3">
      <c r="A871" t="s">
        <v>4044</v>
      </c>
      <c r="B871" t="s">
        <v>481</v>
      </c>
      <c r="C871" t="s">
        <v>4233</v>
      </c>
      <c r="D871" t="s">
        <v>4111</v>
      </c>
      <c r="E871" t="s">
        <v>3051</v>
      </c>
      <c r="F871" s="1" t="str">
        <f>HYPERLINK("http://ovidsp.ovid.com/ovidweb.cgi?T=JS&amp;NEWS=n&amp;CSC=Y&amp;PAGE=booktext&amp;D=books&amp;AN=01437560$&amp;XPATH=/PG(0)&amp;EPUB=Y","http://ovidsp.ovid.com/ovidweb.cgi?T=JS&amp;NEWS=n&amp;CSC=Y&amp;PAGE=booktext&amp;D=books&amp;AN=01437560$&amp;XPATH=/PG(0)&amp;EPUB=Y")</f>
        <v>http://ovidsp.ovid.com/ovidweb.cgi?T=JS&amp;NEWS=n&amp;CSC=Y&amp;PAGE=booktext&amp;D=books&amp;AN=01437560$&amp;XPATH=/PG(0)&amp;EPUB=Y</v>
      </c>
      <c r="G871" t="s">
        <v>2139</v>
      </c>
      <c r="H871" t="s">
        <v>2974</v>
      </c>
      <c r="I871">
        <v>1206726</v>
      </c>
      <c r="J871" t="s">
        <v>3263</v>
      </c>
      <c r="K871" t="s">
        <v>1324</v>
      </c>
    </row>
    <row r="872" spans="1:11" x14ac:dyDescent="0.3">
      <c r="A872" t="s">
        <v>532</v>
      </c>
      <c r="B872" t="s">
        <v>977</v>
      </c>
      <c r="C872" t="s">
        <v>1967</v>
      </c>
      <c r="D872" t="s">
        <v>4111</v>
      </c>
      <c r="E872" t="s">
        <v>404</v>
      </c>
      <c r="F872" s="1" t="str">
        <f>HYPERLINK("http://ovidsp.ovid.com/ovidweb.cgi?T=JS&amp;NEWS=n&amp;CSC=Y&amp;PAGE=booktext&amp;D=books&amp;AN=01257043$&amp;XPATH=/PG(0)&amp;EPUB=Y","http://ovidsp.ovid.com/ovidweb.cgi?T=JS&amp;NEWS=n&amp;CSC=Y&amp;PAGE=booktext&amp;D=books&amp;AN=01257043$&amp;XPATH=/PG(0)&amp;EPUB=Y")</f>
        <v>http://ovidsp.ovid.com/ovidweb.cgi?T=JS&amp;NEWS=n&amp;CSC=Y&amp;PAGE=booktext&amp;D=books&amp;AN=01257043$&amp;XPATH=/PG(0)&amp;EPUB=Y</v>
      </c>
      <c r="G872" t="s">
        <v>2139</v>
      </c>
      <c r="H872" t="s">
        <v>2974</v>
      </c>
      <c r="I872">
        <v>1206726</v>
      </c>
      <c r="J872" t="s">
        <v>3263</v>
      </c>
      <c r="K872" t="s">
        <v>2433</v>
      </c>
    </row>
    <row r="873" spans="1:11" x14ac:dyDescent="0.3">
      <c r="A873" t="s">
        <v>1087</v>
      </c>
      <c r="B873" t="s">
        <v>4363</v>
      </c>
      <c r="C873" t="s">
        <v>2938</v>
      </c>
      <c r="D873" t="s">
        <v>4111</v>
      </c>
      <c r="E873" t="s">
        <v>1104</v>
      </c>
      <c r="F873" s="1" t="str">
        <f>HYPERLINK("http://ovidsp.ovid.com/ovidweb.cgi?T=JS&amp;NEWS=n&amp;CSC=Y&amp;PAGE=booktext&amp;D=books&amp;AN=01312065$&amp;XPATH=/PG(0)&amp;EPUB=Y","http://ovidsp.ovid.com/ovidweb.cgi?T=JS&amp;NEWS=n&amp;CSC=Y&amp;PAGE=booktext&amp;D=books&amp;AN=01312065$&amp;XPATH=/PG(0)&amp;EPUB=Y")</f>
        <v>http://ovidsp.ovid.com/ovidweb.cgi?T=JS&amp;NEWS=n&amp;CSC=Y&amp;PAGE=booktext&amp;D=books&amp;AN=01312065$&amp;XPATH=/PG(0)&amp;EPUB=Y</v>
      </c>
      <c r="G873" t="s">
        <v>2139</v>
      </c>
      <c r="H873" t="s">
        <v>2974</v>
      </c>
      <c r="I873">
        <v>1206726</v>
      </c>
      <c r="J873" t="s">
        <v>3263</v>
      </c>
      <c r="K873" t="s">
        <v>994</v>
      </c>
    </row>
    <row r="874" spans="1:11" x14ac:dyDescent="0.3">
      <c r="A874" t="s">
        <v>955</v>
      </c>
      <c r="B874" t="s">
        <v>2252</v>
      </c>
      <c r="C874" t="s">
        <v>11</v>
      </c>
      <c r="D874" t="s">
        <v>4111</v>
      </c>
      <c r="E874" t="s">
        <v>2223</v>
      </c>
      <c r="F874" s="1" t="str">
        <f>HYPERLINK("http://ovidsp.ovid.com/ovidweb.cgi?T=JS&amp;NEWS=n&amp;CSC=Y&amp;PAGE=booktext&amp;D=books&amp;AN=01382536$&amp;XPATH=/PG(0)&amp;EPUB=Y","http://ovidsp.ovid.com/ovidweb.cgi?T=JS&amp;NEWS=n&amp;CSC=Y&amp;PAGE=booktext&amp;D=books&amp;AN=01382536$&amp;XPATH=/PG(0)&amp;EPUB=Y")</f>
        <v>http://ovidsp.ovid.com/ovidweb.cgi?T=JS&amp;NEWS=n&amp;CSC=Y&amp;PAGE=booktext&amp;D=books&amp;AN=01382536$&amp;XPATH=/PG(0)&amp;EPUB=Y</v>
      </c>
      <c r="G874" t="s">
        <v>2139</v>
      </c>
      <c r="H874" t="s">
        <v>2974</v>
      </c>
      <c r="I874">
        <v>1206726</v>
      </c>
      <c r="J874" t="s">
        <v>3263</v>
      </c>
      <c r="K874" t="s">
        <v>2033</v>
      </c>
    </row>
    <row r="875" spans="1:11" x14ac:dyDescent="0.3">
      <c r="A875" t="s">
        <v>4293</v>
      </c>
      <c r="B875" t="s">
        <v>1809</v>
      </c>
      <c r="C875" t="s">
        <v>1296</v>
      </c>
      <c r="D875" t="s">
        <v>4111</v>
      </c>
      <c r="E875" t="s">
        <v>2876</v>
      </c>
      <c r="F875" s="1" t="str">
        <f>HYPERLINK("http://ovidsp.ovid.com/ovidweb.cgi?T=JS&amp;NEWS=n&amp;CSC=Y&amp;PAGE=booktext&amp;D=books&amp;AN=01273130$&amp;XPATH=/PG(0)&amp;EPUB=Y","http://ovidsp.ovid.com/ovidweb.cgi?T=JS&amp;NEWS=n&amp;CSC=Y&amp;PAGE=booktext&amp;D=books&amp;AN=01273130$&amp;XPATH=/PG(0)&amp;EPUB=Y")</f>
        <v>http://ovidsp.ovid.com/ovidweb.cgi?T=JS&amp;NEWS=n&amp;CSC=Y&amp;PAGE=booktext&amp;D=books&amp;AN=01273130$&amp;XPATH=/PG(0)&amp;EPUB=Y</v>
      </c>
      <c r="G875" t="s">
        <v>2139</v>
      </c>
      <c r="H875" t="s">
        <v>2974</v>
      </c>
      <c r="I875">
        <v>1206726</v>
      </c>
      <c r="J875" t="s">
        <v>3263</v>
      </c>
      <c r="K875" t="s">
        <v>3202</v>
      </c>
    </row>
    <row r="876" spans="1:11" x14ac:dyDescent="0.3">
      <c r="A876" t="s">
        <v>4293</v>
      </c>
      <c r="B876" t="s">
        <v>2021</v>
      </c>
      <c r="C876" t="s">
        <v>4462</v>
      </c>
      <c r="D876" t="s">
        <v>4111</v>
      </c>
      <c r="E876" t="s">
        <v>3387</v>
      </c>
      <c r="F876" s="1" t="str">
        <f>HYPERLINK("http://ovidsp.ovid.com/ovidweb.cgi?T=JS&amp;NEWS=n&amp;CSC=Y&amp;PAGE=booktext&amp;D=books&amp;AN=01735139$&amp;XPATH=/PG(0)&amp;EPUB=Y","http://ovidsp.ovid.com/ovidweb.cgi?T=JS&amp;NEWS=n&amp;CSC=Y&amp;PAGE=booktext&amp;D=books&amp;AN=01735139$&amp;XPATH=/PG(0)&amp;EPUB=Y")</f>
        <v>http://ovidsp.ovid.com/ovidweb.cgi?T=JS&amp;NEWS=n&amp;CSC=Y&amp;PAGE=booktext&amp;D=books&amp;AN=01735139$&amp;XPATH=/PG(0)&amp;EPUB=Y</v>
      </c>
      <c r="G876" t="s">
        <v>2139</v>
      </c>
      <c r="H876" t="s">
        <v>2974</v>
      </c>
      <c r="I876">
        <v>1206726</v>
      </c>
      <c r="J876" t="s">
        <v>3263</v>
      </c>
      <c r="K876" t="s">
        <v>4708</v>
      </c>
    </row>
    <row r="877" spans="1:11" x14ac:dyDescent="0.3">
      <c r="A877" t="s">
        <v>3522</v>
      </c>
      <c r="B877" t="s">
        <v>2889</v>
      </c>
      <c r="C877" t="s">
        <v>4170</v>
      </c>
      <c r="D877" t="s">
        <v>4111</v>
      </c>
      <c r="E877" t="s">
        <v>2223</v>
      </c>
      <c r="F877" s="1" t="str">
        <f>HYPERLINK("http://ovidsp.ovid.com/ovidweb.cgi?T=JS&amp;NEWS=n&amp;CSC=Y&amp;PAGE=booktext&amp;D=books&amp;AN=01382416$&amp;XPATH=/PG(0)&amp;EPUB=Y","http://ovidsp.ovid.com/ovidweb.cgi?T=JS&amp;NEWS=n&amp;CSC=Y&amp;PAGE=booktext&amp;D=books&amp;AN=01382416$&amp;XPATH=/PG(0)&amp;EPUB=Y")</f>
        <v>http://ovidsp.ovid.com/ovidweb.cgi?T=JS&amp;NEWS=n&amp;CSC=Y&amp;PAGE=booktext&amp;D=books&amp;AN=01382416$&amp;XPATH=/PG(0)&amp;EPUB=Y</v>
      </c>
      <c r="G877" t="s">
        <v>2139</v>
      </c>
      <c r="H877" t="s">
        <v>2974</v>
      </c>
      <c r="I877">
        <v>1206726</v>
      </c>
      <c r="J877" t="s">
        <v>3263</v>
      </c>
      <c r="K877" t="s">
        <v>3767</v>
      </c>
    </row>
    <row r="878" spans="1:11" x14ac:dyDescent="0.3">
      <c r="A878" t="s">
        <v>4277</v>
      </c>
      <c r="B878" t="s">
        <v>1810</v>
      </c>
      <c r="C878" t="s">
        <v>4400</v>
      </c>
      <c r="D878" t="s">
        <v>4111</v>
      </c>
      <c r="E878" t="s">
        <v>404</v>
      </c>
      <c r="F878" s="1" t="str">
        <f>HYPERLINK("http://ovidsp.ovid.com/ovidweb.cgi?T=JS&amp;NEWS=n&amp;CSC=Y&amp;PAGE=booktext&amp;D=books&amp;AN=01223031$&amp;XPATH=/PG(0)&amp;EPUB=Y","http://ovidsp.ovid.com/ovidweb.cgi?T=JS&amp;NEWS=n&amp;CSC=Y&amp;PAGE=booktext&amp;D=books&amp;AN=01223031$&amp;XPATH=/PG(0)&amp;EPUB=Y")</f>
        <v>http://ovidsp.ovid.com/ovidweb.cgi?T=JS&amp;NEWS=n&amp;CSC=Y&amp;PAGE=booktext&amp;D=books&amp;AN=01223031$&amp;XPATH=/PG(0)&amp;EPUB=Y</v>
      </c>
      <c r="G878" t="s">
        <v>2139</v>
      </c>
      <c r="H878" t="s">
        <v>2974</v>
      </c>
      <c r="I878">
        <v>1206726</v>
      </c>
      <c r="J878" t="s">
        <v>3263</v>
      </c>
      <c r="K878" t="s">
        <v>2694</v>
      </c>
    </row>
    <row r="879" spans="1:11" x14ac:dyDescent="0.3">
      <c r="A879" t="s">
        <v>1363</v>
      </c>
      <c r="B879" t="s">
        <v>4002</v>
      </c>
      <c r="C879" t="s">
        <v>2579</v>
      </c>
      <c r="D879" t="s">
        <v>4111</v>
      </c>
      <c r="E879" t="s">
        <v>1104</v>
      </c>
      <c r="F879" s="1" t="str">
        <f>HYPERLINK("http://ovidsp.ovid.com/ovidweb.cgi?T=JS&amp;NEWS=n&amp;CSC=Y&amp;PAGE=booktext&amp;D=books&amp;AN=01337651$&amp;XPATH=/PG(0)&amp;EPUB=Y","http://ovidsp.ovid.com/ovidweb.cgi?T=JS&amp;NEWS=n&amp;CSC=Y&amp;PAGE=booktext&amp;D=books&amp;AN=01337651$&amp;XPATH=/PG(0)&amp;EPUB=Y")</f>
        <v>http://ovidsp.ovid.com/ovidweb.cgi?T=JS&amp;NEWS=n&amp;CSC=Y&amp;PAGE=booktext&amp;D=books&amp;AN=01337651$&amp;XPATH=/PG(0)&amp;EPUB=Y</v>
      </c>
      <c r="G879" t="s">
        <v>2139</v>
      </c>
      <c r="H879" t="s">
        <v>2974</v>
      </c>
      <c r="I879">
        <v>1206726</v>
      </c>
      <c r="J879" t="s">
        <v>3263</v>
      </c>
      <c r="K879" t="s">
        <v>2846</v>
      </c>
    </row>
    <row r="880" spans="1:11" x14ac:dyDescent="0.3">
      <c r="A880" t="s">
        <v>152</v>
      </c>
      <c r="B880" t="s">
        <v>1822</v>
      </c>
      <c r="C880" t="s">
        <v>3073</v>
      </c>
      <c r="D880" t="s">
        <v>4111</v>
      </c>
      <c r="E880" t="s">
        <v>2223</v>
      </c>
      <c r="F880" s="1" t="str">
        <f>HYPERLINK("http://ovidsp.ovid.com/ovidweb.cgi?T=JS&amp;NEWS=n&amp;CSC=Y&amp;PAGE=booktext&amp;D=books&amp;AN=01382643$&amp;XPATH=/PG(0)&amp;EPUB=Y","http://ovidsp.ovid.com/ovidweb.cgi?T=JS&amp;NEWS=n&amp;CSC=Y&amp;PAGE=booktext&amp;D=books&amp;AN=01382643$&amp;XPATH=/PG(0)&amp;EPUB=Y")</f>
        <v>http://ovidsp.ovid.com/ovidweb.cgi?T=JS&amp;NEWS=n&amp;CSC=Y&amp;PAGE=booktext&amp;D=books&amp;AN=01382643$&amp;XPATH=/PG(0)&amp;EPUB=Y</v>
      </c>
      <c r="G880" t="s">
        <v>2139</v>
      </c>
      <c r="H880" t="s">
        <v>2974</v>
      </c>
      <c r="I880">
        <v>1206726</v>
      </c>
      <c r="J880" t="s">
        <v>3263</v>
      </c>
      <c r="K880" t="s">
        <v>2070</v>
      </c>
    </row>
    <row r="881" spans="1:11" x14ac:dyDescent="0.3">
      <c r="A881" t="s">
        <v>412</v>
      </c>
      <c r="B881" t="s">
        <v>2845</v>
      </c>
      <c r="C881" t="s">
        <v>1503</v>
      </c>
      <c r="D881" t="s">
        <v>4111</v>
      </c>
      <c r="E881" t="s">
        <v>2223</v>
      </c>
      <c r="F881" s="1" t="str">
        <f>HYPERLINK("http://ovidsp.ovid.com/ovidweb.cgi?T=JS&amp;NEWS=n&amp;CSC=Y&amp;PAGE=booktext&amp;D=books&amp;AN=01382644$&amp;XPATH=/PG(0)&amp;EPUB=Y","http://ovidsp.ovid.com/ovidweb.cgi?T=JS&amp;NEWS=n&amp;CSC=Y&amp;PAGE=booktext&amp;D=books&amp;AN=01382644$&amp;XPATH=/PG(0)&amp;EPUB=Y")</f>
        <v>http://ovidsp.ovid.com/ovidweb.cgi?T=JS&amp;NEWS=n&amp;CSC=Y&amp;PAGE=booktext&amp;D=books&amp;AN=01382644$&amp;XPATH=/PG(0)&amp;EPUB=Y</v>
      </c>
      <c r="G881" t="s">
        <v>2139</v>
      </c>
      <c r="H881" t="s">
        <v>2974</v>
      </c>
      <c r="I881">
        <v>1206726</v>
      </c>
      <c r="J881" t="s">
        <v>3263</v>
      </c>
      <c r="K881" t="s">
        <v>2078</v>
      </c>
    </row>
    <row r="882" spans="1:11" x14ac:dyDescent="0.3">
      <c r="A882" t="s">
        <v>2633</v>
      </c>
      <c r="B882" t="s">
        <v>482</v>
      </c>
      <c r="C882" t="s">
        <v>472</v>
      </c>
      <c r="D882" t="s">
        <v>4111</v>
      </c>
      <c r="E882" t="s">
        <v>404</v>
      </c>
      <c r="F882" s="1" t="str">
        <f>HYPERLINK("http://ovidsp.ovid.com/ovidweb.cgi?T=JS&amp;NEWS=n&amp;CSC=Y&amp;PAGE=booktext&amp;D=books&amp;AN=01382645$&amp;XPATH=/PG(0)&amp;EPUB=Y","http://ovidsp.ovid.com/ovidweb.cgi?T=JS&amp;NEWS=n&amp;CSC=Y&amp;PAGE=booktext&amp;D=books&amp;AN=01382645$&amp;XPATH=/PG(0)&amp;EPUB=Y")</f>
        <v>http://ovidsp.ovid.com/ovidweb.cgi?T=JS&amp;NEWS=n&amp;CSC=Y&amp;PAGE=booktext&amp;D=books&amp;AN=01382645$&amp;XPATH=/PG(0)&amp;EPUB=Y</v>
      </c>
      <c r="G882" t="s">
        <v>2139</v>
      </c>
      <c r="H882" t="s">
        <v>2974</v>
      </c>
      <c r="I882">
        <v>1206726</v>
      </c>
      <c r="J882" t="s">
        <v>3263</v>
      </c>
      <c r="K882" t="s">
        <v>2228</v>
      </c>
    </row>
    <row r="883" spans="1:11" x14ac:dyDescent="0.3">
      <c r="A883" t="s">
        <v>2734</v>
      </c>
      <c r="B883" t="s">
        <v>1163</v>
      </c>
      <c r="C883" t="s">
        <v>1020</v>
      </c>
      <c r="D883" t="s">
        <v>4111</v>
      </c>
      <c r="E883" t="s">
        <v>2223</v>
      </c>
      <c r="F883" s="1" t="str">
        <f>HYPERLINK("http://ovidsp.ovid.com/ovidweb.cgi?T=JS&amp;NEWS=n&amp;CSC=Y&amp;PAGE=booktext&amp;D=books&amp;AN=01434795$&amp;XPATH=/PG(0)&amp;EPUB=Y","http://ovidsp.ovid.com/ovidweb.cgi?T=JS&amp;NEWS=n&amp;CSC=Y&amp;PAGE=booktext&amp;D=books&amp;AN=01434795$&amp;XPATH=/PG(0)&amp;EPUB=Y")</f>
        <v>http://ovidsp.ovid.com/ovidweb.cgi?T=JS&amp;NEWS=n&amp;CSC=Y&amp;PAGE=booktext&amp;D=books&amp;AN=01434795$&amp;XPATH=/PG(0)&amp;EPUB=Y</v>
      </c>
      <c r="G883" t="s">
        <v>2139</v>
      </c>
      <c r="H883" t="s">
        <v>2974</v>
      </c>
      <c r="I883">
        <v>1206726</v>
      </c>
      <c r="J883" t="s">
        <v>3263</v>
      </c>
      <c r="K883" t="s">
        <v>3205</v>
      </c>
    </row>
    <row r="884" spans="1:11" x14ac:dyDescent="0.3">
      <c r="A884" t="s">
        <v>3769</v>
      </c>
      <c r="B884" t="s">
        <v>627</v>
      </c>
      <c r="C884" t="s">
        <v>3000</v>
      </c>
      <c r="D884" t="s">
        <v>4111</v>
      </c>
      <c r="E884" t="s">
        <v>2223</v>
      </c>
      <c r="F884" s="1" t="str">
        <f>HYPERLINK("http://ovidsp.ovid.com/ovidweb.cgi?T=JS&amp;NEWS=n&amp;CSC=Y&amp;PAGE=booktext&amp;D=books&amp;AN=01382660$&amp;XPATH=/PG(0)&amp;EPUB=Y","http://ovidsp.ovid.com/ovidweb.cgi?T=JS&amp;NEWS=n&amp;CSC=Y&amp;PAGE=booktext&amp;D=books&amp;AN=01382660$&amp;XPATH=/PG(0)&amp;EPUB=Y")</f>
        <v>http://ovidsp.ovid.com/ovidweb.cgi?T=JS&amp;NEWS=n&amp;CSC=Y&amp;PAGE=booktext&amp;D=books&amp;AN=01382660$&amp;XPATH=/PG(0)&amp;EPUB=Y</v>
      </c>
      <c r="G884" t="s">
        <v>2139</v>
      </c>
      <c r="H884" t="s">
        <v>2974</v>
      </c>
      <c r="I884">
        <v>1206726</v>
      </c>
      <c r="J884" t="s">
        <v>3263</v>
      </c>
      <c r="K884" t="s">
        <v>2605</v>
      </c>
    </row>
    <row r="885" spans="1:11" x14ac:dyDescent="0.3">
      <c r="A885" t="s">
        <v>4353</v>
      </c>
      <c r="B885" t="s">
        <v>1410</v>
      </c>
      <c r="C885" t="s">
        <v>2520</v>
      </c>
      <c r="D885" t="s">
        <v>4111</v>
      </c>
      <c r="E885" t="s">
        <v>2223</v>
      </c>
      <c r="F885" s="1" t="str">
        <f>HYPERLINK("http://ovidsp.ovid.com/ovidweb.cgi?T=JS&amp;NEWS=n&amp;CSC=Y&amp;PAGE=booktext&amp;D=books&amp;AN=01382834$&amp;XPATH=/PG(0)&amp;EPUB=Y","http://ovidsp.ovid.com/ovidweb.cgi?T=JS&amp;NEWS=n&amp;CSC=Y&amp;PAGE=booktext&amp;D=books&amp;AN=01382834$&amp;XPATH=/PG(0)&amp;EPUB=Y")</f>
        <v>http://ovidsp.ovid.com/ovidweb.cgi?T=JS&amp;NEWS=n&amp;CSC=Y&amp;PAGE=booktext&amp;D=books&amp;AN=01382834$&amp;XPATH=/PG(0)&amp;EPUB=Y</v>
      </c>
      <c r="G885" t="s">
        <v>2139</v>
      </c>
      <c r="H885" t="s">
        <v>2974</v>
      </c>
      <c r="I885">
        <v>1206726</v>
      </c>
      <c r="J885" t="s">
        <v>3263</v>
      </c>
      <c r="K885" t="s">
        <v>802</v>
      </c>
    </row>
    <row r="886" spans="1:11" x14ac:dyDescent="0.3">
      <c r="A886" t="s">
        <v>3267</v>
      </c>
      <c r="B886" t="s">
        <v>3508</v>
      </c>
      <c r="C886" t="s">
        <v>3213</v>
      </c>
      <c r="D886" t="s">
        <v>4111</v>
      </c>
      <c r="E886" t="s">
        <v>1104</v>
      </c>
      <c r="F886" s="1" t="str">
        <f>HYPERLINK("http://ovidsp.ovid.com/ovidweb.cgi?T=JS&amp;NEWS=n&amp;CSC=Y&amp;PAGE=booktext&amp;D=books&amp;AN=01745949$&amp;XPATH=/PG(0)&amp;EPUB=Y","http://ovidsp.ovid.com/ovidweb.cgi?T=JS&amp;NEWS=n&amp;CSC=Y&amp;PAGE=booktext&amp;D=books&amp;AN=01745949$&amp;XPATH=/PG(0)&amp;EPUB=Y")</f>
        <v>http://ovidsp.ovid.com/ovidweb.cgi?T=JS&amp;NEWS=n&amp;CSC=Y&amp;PAGE=booktext&amp;D=books&amp;AN=01745949$&amp;XPATH=/PG(0)&amp;EPUB=Y</v>
      </c>
      <c r="G886" t="s">
        <v>2139</v>
      </c>
      <c r="H886" t="s">
        <v>2974</v>
      </c>
      <c r="I886">
        <v>1206726</v>
      </c>
      <c r="J886" t="s">
        <v>3263</v>
      </c>
      <c r="K886" t="s">
        <v>2002</v>
      </c>
    </row>
    <row r="887" spans="1:11" x14ac:dyDescent="0.3">
      <c r="A887" t="s">
        <v>3377</v>
      </c>
      <c r="B887" t="s">
        <v>2304</v>
      </c>
      <c r="C887" t="s">
        <v>4186</v>
      </c>
      <c r="D887" t="s">
        <v>4111</v>
      </c>
      <c r="E887" t="s">
        <v>2876</v>
      </c>
      <c r="F887" s="1" t="str">
        <f>HYPERLINK("http://ovidsp.ovid.com/ovidweb.cgi?T=JS&amp;NEWS=n&amp;CSC=Y&amp;PAGE=booktext&amp;D=books&amp;AN=01437561$&amp;XPATH=/PG(0)&amp;EPUB=Y","http://ovidsp.ovid.com/ovidweb.cgi?T=JS&amp;NEWS=n&amp;CSC=Y&amp;PAGE=booktext&amp;D=books&amp;AN=01437561$&amp;XPATH=/PG(0)&amp;EPUB=Y")</f>
        <v>http://ovidsp.ovid.com/ovidweb.cgi?T=JS&amp;NEWS=n&amp;CSC=Y&amp;PAGE=booktext&amp;D=books&amp;AN=01437561$&amp;XPATH=/PG(0)&amp;EPUB=Y</v>
      </c>
      <c r="G887" t="s">
        <v>2139</v>
      </c>
      <c r="H887" t="s">
        <v>2974</v>
      </c>
      <c r="I887">
        <v>1206726</v>
      </c>
      <c r="J887" t="s">
        <v>3263</v>
      </c>
      <c r="K887" t="s">
        <v>2244</v>
      </c>
    </row>
    <row r="888" spans="1:11" x14ac:dyDescent="0.3">
      <c r="A888" t="s">
        <v>3110</v>
      </c>
      <c r="B888" t="s">
        <v>2490</v>
      </c>
      <c r="C888" t="s">
        <v>1781</v>
      </c>
      <c r="D888" t="s">
        <v>4111</v>
      </c>
      <c r="E888" t="s">
        <v>3051</v>
      </c>
      <c r="F888" s="1" t="str">
        <f>HYPERLINK("http://ovidsp.ovid.com/ovidweb.cgi?T=JS&amp;NEWS=n&amp;CSC=Y&amp;PAGE=booktext&amp;D=books&amp;AN=01223033$&amp;XPATH=/PG(0)&amp;EPUB=Y","http://ovidsp.ovid.com/ovidweb.cgi?T=JS&amp;NEWS=n&amp;CSC=Y&amp;PAGE=booktext&amp;D=books&amp;AN=01223033$&amp;XPATH=/PG(0)&amp;EPUB=Y")</f>
        <v>http://ovidsp.ovid.com/ovidweb.cgi?T=JS&amp;NEWS=n&amp;CSC=Y&amp;PAGE=booktext&amp;D=books&amp;AN=01223033$&amp;XPATH=/PG(0)&amp;EPUB=Y</v>
      </c>
      <c r="G888" t="s">
        <v>2139</v>
      </c>
      <c r="H888" t="s">
        <v>2974</v>
      </c>
      <c r="I888">
        <v>1206726</v>
      </c>
      <c r="J888" t="s">
        <v>3263</v>
      </c>
      <c r="K888" t="s">
        <v>64</v>
      </c>
    </row>
    <row r="889" spans="1:11" x14ac:dyDescent="0.3">
      <c r="A889" t="s">
        <v>4636</v>
      </c>
      <c r="B889" t="s">
        <v>1216</v>
      </c>
      <c r="C889" t="s">
        <v>3112</v>
      </c>
      <c r="D889" t="s">
        <v>4111</v>
      </c>
      <c r="E889" t="s">
        <v>2223</v>
      </c>
      <c r="F889" s="1" t="str">
        <f>HYPERLINK("http://ovidsp.ovid.com/ovidweb.cgi?T=JS&amp;NEWS=n&amp;CSC=Y&amp;PAGE=booktext&amp;D=books&amp;AN=01382647$&amp;XPATH=/PG(0)&amp;EPUB=Y","http://ovidsp.ovid.com/ovidweb.cgi?T=JS&amp;NEWS=n&amp;CSC=Y&amp;PAGE=booktext&amp;D=books&amp;AN=01382647$&amp;XPATH=/PG(0)&amp;EPUB=Y")</f>
        <v>http://ovidsp.ovid.com/ovidweb.cgi?T=JS&amp;NEWS=n&amp;CSC=Y&amp;PAGE=booktext&amp;D=books&amp;AN=01382647$&amp;XPATH=/PG(0)&amp;EPUB=Y</v>
      </c>
      <c r="G889" t="s">
        <v>2139</v>
      </c>
      <c r="H889" t="s">
        <v>2974</v>
      </c>
      <c r="I889">
        <v>1206726</v>
      </c>
      <c r="J889" t="s">
        <v>3263</v>
      </c>
      <c r="K889" t="s">
        <v>1690</v>
      </c>
    </row>
    <row r="890" spans="1:11" x14ac:dyDescent="0.3">
      <c r="A890" t="s">
        <v>2435</v>
      </c>
      <c r="B890" t="s">
        <v>1490</v>
      </c>
      <c r="C890" t="s">
        <v>1568</v>
      </c>
      <c r="D890" t="s">
        <v>1488</v>
      </c>
      <c r="E890" t="s">
        <v>861</v>
      </c>
      <c r="F890" s="1" t="str">
        <f>HYPERLINK("http://ovidsp.ovid.com/ovidweb.cgi?T=JS&amp;NEWS=n&amp;CSC=Y&amp;PAGE=booktext&amp;D=books&amp;AN=01253102$&amp;XPATH=/PG(0)&amp;EPUB=Y","http://ovidsp.ovid.com/ovidweb.cgi?T=JS&amp;NEWS=n&amp;CSC=Y&amp;PAGE=booktext&amp;D=books&amp;AN=01253102$&amp;XPATH=/PG(0)&amp;EPUB=Y")</f>
        <v>http://ovidsp.ovid.com/ovidweb.cgi?T=JS&amp;NEWS=n&amp;CSC=Y&amp;PAGE=booktext&amp;D=books&amp;AN=01253102$&amp;XPATH=/PG(0)&amp;EPUB=Y</v>
      </c>
      <c r="G890" t="s">
        <v>2139</v>
      </c>
      <c r="H890" t="s">
        <v>2974</v>
      </c>
      <c r="I890">
        <v>1206726</v>
      </c>
      <c r="J890" t="s">
        <v>3263</v>
      </c>
      <c r="K890" t="s">
        <v>2027</v>
      </c>
    </row>
    <row r="891" spans="1:11" x14ac:dyDescent="0.3">
      <c r="A891" t="s">
        <v>419</v>
      </c>
      <c r="B891" t="s">
        <v>2502</v>
      </c>
      <c r="C891" t="s">
        <v>1637</v>
      </c>
      <c r="D891" t="s">
        <v>4111</v>
      </c>
      <c r="E891" t="s">
        <v>2223</v>
      </c>
      <c r="F891" s="1" t="str">
        <f>HYPERLINK("http://ovidsp.ovid.com/ovidweb.cgi?T=JS&amp;NEWS=n&amp;CSC=Y&amp;PAGE=booktext&amp;D=books&amp;AN=01437562$&amp;XPATH=/PG(0)&amp;EPUB=Y","http://ovidsp.ovid.com/ovidweb.cgi?T=JS&amp;NEWS=n&amp;CSC=Y&amp;PAGE=booktext&amp;D=books&amp;AN=01437562$&amp;XPATH=/PG(0)&amp;EPUB=Y")</f>
        <v>http://ovidsp.ovid.com/ovidweb.cgi?T=JS&amp;NEWS=n&amp;CSC=Y&amp;PAGE=booktext&amp;D=books&amp;AN=01437562$&amp;XPATH=/PG(0)&amp;EPUB=Y</v>
      </c>
      <c r="G891" t="s">
        <v>2139</v>
      </c>
      <c r="H891" t="s">
        <v>2974</v>
      </c>
      <c r="I891">
        <v>1206726</v>
      </c>
      <c r="J891" t="s">
        <v>3263</v>
      </c>
      <c r="K891" t="s">
        <v>2157</v>
      </c>
    </row>
    <row r="892" spans="1:11" x14ac:dyDescent="0.3">
      <c r="A892" t="s">
        <v>2526</v>
      </c>
      <c r="B892" t="s">
        <v>1007</v>
      </c>
      <c r="C892" t="s">
        <v>3214</v>
      </c>
      <c r="D892" t="s">
        <v>4111</v>
      </c>
      <c r="E892" t="s">
        <v>3051</v>
      </c>
      <c r="F892" s="1" t="str">
        <f>HYPERLINK("http://ovidsp.ovid.com/ovidweb.cgi?T=JS&amp;NEWS=n&amp;CSC=Y&amp;PAGE=booktext&amp;D=books&amp;AN=01412547$&amp;XPATH=/PG(0)&amp;EPUB=Y","http://ovidsp.ovid.com/ovidweb.cgi?T=JS&amp;NEWS=n&amp;CSC=Y&amp;PAGE=booktext&amp;D=books&amp;AN=01412547$&amp;XPATH=/PG(0)&amp;EPUB=Y")</f>
        <v>http://ovidsp.ovid.com/ovidweb.cgi?T=JS&amp;NEWS=n&amp;CSC=Y&amp;PAGE=booktext&amp;D=books&amp;AN=01412547$&amp;XPATH=/PG(0)&amp;EPUB=Y</v>
      </c>
      <c r="G892" t="s">
        <v>2139</v>
      </c>
      <c r="H892" t="s">
        <v>2974</v>
      </c>
      <c r="I892">
        <v>1206726</v>
      </c>
      <c r="J892" t="s">
        <v>3263</v>
      </c>
      <c r="K892" t="s">
        <v>1127</v>
      </c>
    </row>
    <row r="893" spans="1:11" x14ac:dyDescent="0.3">
      <c r="A893" t="s">
        <v>3558</v>
      </c>
      <c r="B893" t="s">
        <v>1029</v>
      </c>
      <c r="C893" t="s">
        <v>1871</v>
      </c>
      <c r="D893" t="s">
        <v>4111</v>
      </c>
      <c r="E893" t="s">
        <v>2876</v>
      </c>
      <c r="F893" s="1" t="str">
        <f>HYPERLINK("http://ovidsp.ovid.com/ovidweb.cgi?T=JS&amp;NEWS=n&amp;CSC=Y&amp;PAGE=booktext&amp;D=books&amp;AN=01279714$&amp;XPATH=/PG(0)&amp;EPUB=Y","http://ovidsp.ovid.com/ovidweb.cgi?T=JS&amp;NEWS=n&amp;CSC=Y&amp;PAGE=booktext&amp;D=books&amp;AN=01279714$&amp;XPATH=/PG(0)&amp;EPUB=Y")</f>
        <v>http://ovidsp.ovid.com/ovidweb.cgi?T=JS&amp;NEWS=n&amp;CSC=Y&amp;PAGE=booktext&amp;D=books&amp;AN=01279714$&amp;XPATH=/PG(0)&amp;EPUB=Y</v>
      </c>
      <c r="G893" t="s">
        <v>2139</v>
      </c>
      <c r="H893" t="s">
        <v>2974</v>
      </c>
      <c r="I893">
        <v>1206726</v>
      </c>
      <c r="J893" t="s">
        <v>3263</v>
      </c>
      <c r="K893" t="s">
        <v>2199</v>
      </c>
    </row>
    <row r="894" spans="1:11" x14ac:dyDescent="0.3">
      <c r="A894" t="s">
        <v>327</v>
      </c>
      <c r="B894" t="s">
        <v>2481</v>
      </c>
      <c r="C894" t="s">
        <v>2427</v>
      </c>
      <c r="D894" t="s">
        <v>4111</v>
      </c>
      <c r="E894" t="s">
        <v>2970</v>
      </c>
      <c r="F894" s="1" t="str">
        <f>HYPERLINK("http://ovidsp.ovid.com/ovidweb.cgi?T=JS&amp;NEWS=n&amp;CSC=Y&amp;PAGE=booktext&amp;D=books&amp;AN=00139985$&amp;XPATH=/PG(0)&amp;EPUB=Y","http://ovidsp.ovid.com/ovidweb.cgi?T=JS&amp;NEWS=n&amp;CSC=Y&amp;PAGE=booktext&amp;D=books&amp;AN=00139985$&amp;XPATH=/PG(0)&amp;EPUB=Y")</f>
        <v>http://ovidsp.ovid.com/ovidweb.cgi?T=JS&amp;NEWS=n&amp;CSC=Y&amp;PAGE=booktext&amp;D=books&amp;AN=00139985$&amp;XPATH=/PG(0)&amp;EPUB=Y</v>
      </c>
      <c r="G894" t="s">
        <v>2139</v>
      </c>
      <c r="H894" t="s">
        <v>2974</v>
      </c>
      <c r="I894">
        <v>1206726</v>
      </c>
      <c r="J894" t="s">
        <v>3263</v>
      </c>
      <c r="K894" t="s">
        <v>2193</v>
      </c>
    </row>
    <row r="895" spans="1:11" x14ac:dyDescent="0.3">
      <c r="A895" t="s">
        <v>1213</v>
      </c>
      <c r="B895" t="s">
        <v>2046</v>
      </c>
      <c r="C895" t="s">
        <v>2913</v>
      </c>
      <c r="D895" t="s">
        <v>4111</v>
      </c>
      <c r="E895" t="s">
        <v>2223</v>
      </c>
      <c r="F895" s="1" t="str">
        <f>HYPERLINK("http://ovidsp.ovid.com/ovidweb.cgi?T=JS&amp;NEWS=n&amp;CSC=Y&amp;PAGE=booktext&amp;D=books&amp;AN=01429661$&amp;XPATH=/PG(0)&amp;EPUB=Y","http://ovidsp.ovid.com/ovidweb.cgi?T=JS&amp;NEWS=n&amp;CSC=Y&amp;PAGE=booktext&amp;D=books&amp;AN=01429661$&amp;XPATH=/PG(0)&amp;EPUB=Y")</f>
        <v>http://ovidsp.ovid.com/ovidweb.cgi?T=JS&amp;NEWS=n&amp;CSC=Y&amp;PAGE=booktext&amp;D=books&amp;AN=01429661$&amp;XPATH=/PG(0)&amp;EPUB=Y</v>
      </c>
      <c r="G895" t="s">
        <v>2139</v>
      </c>
      <c r="H895" t="s">
        <v>2974</v>
      </c>
      <c r="I895">
        <v>1206726</v>
      </c>
      <c r="J895" t="s">
        <v>3263</v>
      </c>
      <c r="K895" t="s">
        <v>1678</v>
      </c>
    </row>
    <row r="896" spans="1:11" x14ac:dyDescent="0.3">
      <c r="A896" t="s">
        <v>1213</v>
      </c>
      <c r="B896" t="s">
        <v>315</v>
      </c>
      <c r="C896" t="s">
        <v>1108</v>
      </c>
      <c r="D896" t="s">
        <v>4111</v>
      </c>
      <c r="E896" t="s">
        <v>404</v>
      </c>
      <c r="F896" s="1" t="str">
        <f>HYPERLINK("http://ovidsp.ovid.com/ovidweb.cgi?T=JS&amp;NEWS=n&amp;CSC=Y&amp;PAGE=booktext&amp;D=books&amp;AN=01745910$&amp;XPATH=/PG(0)&amp;EPUB=Y","http://ovidsp.ovid.com/ovidweb.cgi?T=JS&amp;NEWS=n&amp;CSC=Y&amp;PAGE=booktext&amp;D=books&amp;AN=01745910$&amp;XPATH=/PG(0)&amp;EPUB=Y")</f>
        <v>http://ovidsp.ovid.com/ovidweb.cgi?T=JS&amp;NEWS=n&amp;CSC=Y&amp;PAGE=booktext&amp;D=books&amp;AN=01745910$&amp;XPATH=/PG(0)&amp;EPUB=Y</v>
      </c>
      <c r="G896" t="s">
        <v>2139</v>
      </c>
      <c r="H896" t="s">
        <v>2974</v>
      </c>
      <c r="I896">
        <v>1206726</v>
      </c>
      <c r="J896" t="s">
        <v>3263</v>
      </c>
      <c r="K896" t="s">
        <v>45</v>
      </c>
    </row>
    <row r="897" spans="1:11" x14ac:dyDescent="0.3">
      <c r="A897" t="s">
        <v>241</v>
      </c>
      <c r="B897" t="s">
        <v>2401</v>
      </c>
      <c r="C897" t="s">
        <v>2214</v>
      </c>
      <c r="D897" t="s">
        <v>4111</v>
      </c>
      <c r="E897" t="s">
        <v>171</v>
      </c>
      <c r="F897" s="1" t="str">
        <f>HYPERLINK("http://ovidsp.ovid.com/ovidweb.cgi?T=JS&amp;NEWS=n&amp;CSC=Y&amp;PAGE=booktext&amp;D=books&amp;AN=01400421$&amp;XPATH=/PG(0)&amp;EPUB=Y","http://ovidsp.ovid.com/ovidweb.cgi?T=JS&amp;NEWS=n&amp;CSC=Y&amp;PAGE=booktext&amp;D=books&amp;AN=01400421$&amp;XPATH=/PG(0)&amp;EPUB=Y")</f>
        <v>http://ovidsp.ovid.com/ovidweb.cgi?T=JS&amp;NEWS=n&amp;CSC=Y&amp;PAGE=booktext&amp;D=books&amp;AN=01400421$&amp;XPATH=/PG(0)&amp;EPUB=Y</v>
      </c>
      <c r="G897" t="s">
        <v>2139</v>
      </c>
      <c r="H897" t="s">
        <v>2974</v>
      </c>
      <c r="I897">
        <v>1206726</v>
      </c>
      <c r="J897" t="s">
        <v>3263</v>
      </c>
      <c r="K897" t="s">
        <v>2951</v>
      </c>
    </row>
    <row r="898" spans="1:11" x14ac:dyDescent="0.3">
      <c r="A898" t="s">
        <v>311</v>
      </c>
      <c r="B898" t="s">
        <v>4559</v>
      </c>
      <c r="C898" t="s">
        <v>3086</v>
      </c>
      <c r="D898" t="s">
        <v>4111</v>
      </c>
      <c r="E898" t="s">
        <v>2223</v>
      </c>
      <c r="F898" s="1" t="str">
        <f>HYPERLINK("http://ovidsp.ovid.com/ovidweb.cgi?T=JS&amp;NEWS=n&amp;CSC=Y&amp;PAGE=booktext&amp;D=books&amp;AN=01382520$&amp;XPATH=/PG(0)&amp;EPUB=Y","http://ovidsp.ovid.com/ovidweb.cgi?T=JS&amp;NEWS=n&amp;CSC=Y&amp;PAGE=booktext&amp;D=books&amp;AN=01382520$&amp;XPATH=/PG(0)&amp;EPUB=Y")</f>
        <v>http://ovidsp.ovid.com/ovidweb.cgi?T=JS&amp;NEWS=n&amp;CSC=Y&amp;PAGE=booktext&amp;D=books&amp;AN=01382520$&amp;XPATH=/PG(0)&amp;EPUB=Y</v>
      </c>
      <c r="G898" t="s">
        <v>2139</v>
      </c>
      <c r="H898" t="s">
        <v>2974</v>
      </c>
      <c r="I898">
        <v>1206726</v>
      </c>
      <c r="J898" t="s">
        <v>3263</v>
      </c>
      <c r="K898" t="s">
        <v>4382</v>
      </c>
    </row>
    <row r="899" spans="1:11" x14ac:dyDescent="0.3">
      <c r="A899" t="s">
        <v>2233</v>
      </c>
      <c r="B899" t="s">
        <v>3875</v>
      </c>
      <c r="C899" t="s">
        <v>299</v>
      </c>
      <c r="D899" t="s">
        <v>4111</v>
      </c>
      <c r="E899" t="s">
        <v>2876</v>
      </c>
      <c r="F899" s="1" t="str">
        <f>HYPERLINK("http://ovidsp.ovid.com/ovidweb.cgi?T=JS&amp;NEWS=n&amp;CSC=Y&amp;PAGE=booktext&amp;D=books&amp;AN=01337654$&amp;XPATH=/PG(0)&amp;EPUB=Y","http://ovidsp.ovid.com/ovidweb.cgi?T=JS&amp;NEWS=n&amp;CSC=Y&amp;PAGE=booktext&amp;D=books&amp;AN=01337654$&amp;XPATH=/PG(0)&amp;EPUB=Y")</f>
        <v>http://ovidsp.ovid.com/ovidweb.cgi?T=JS&amp;NEWS=n&amp;CSC=Y&amp;PAGE=booktext&amp;D=books&amp;AN=01337654$&amp;XPATH=/PG(0)&amp;EPUB=Y</v>
      </c>
      <c r="G899" t="s">
        <v>2139</v>
      </c>
      <c r="H899" t="s">
        <v>2974</v>
      </c>
      <c r="I899">
        <v>1206726</v>
      </c>
      <c r="J899" t="s">
        <v>3263</v>
      </c>
      <c r="K899" t="s">
        <v>4246</v>
      </c>
    </row>
    <row r="900" spans="1:11" x14ac:dyDescent="0.3">
      <c r="A900" t="s">
        <v>2230</v>
      </c>
      <c r="B900" t="s">
        <v>730</v>
      </c>
      <c r="C900" t="s">
        <v>4664</v>
      </c>
      <c r="D900" t="s">
        <v>4111</v>
      </c>
      <c r="E900" t="s">
        <v>2223</v>
      </c>
      <c r="F900" s="1" t="str">
        <f>HYPERLINK("http://ovidsp.ovid.com/ovidweb.cgi?T=JS&amp;NEWS=n&amp;CSC=Y&amp;PAGE=booktext&amp;D=books&amp;AN=01437564$&amp;XPATH=/PG(0)&amp;EPUB=Y","http://ovidsp.ovid.com/ovidweb.cgi?T=JS&amp;NEWS=n&amp;CSC=Y&amp;PAGE=booktext&amp;D=books&amp;AN=01437564$&amp;XPATH=/PG(0)&amp;EPUB=Y")</f>
        <v>http://ovidsp.ovid.com/ovidweb.cgi?T=JS&amp;NEWS=n&amp;CSC=Y&amp;PAGE=booktext&amp;D=books&amp;AN=01437564$&amp;XPATH=/PG(0)&amp;EPUB=Y</v>
      </c>
      <c r="G900" t="s">
        <v>2139</v>
      </c>
      <c r="H900" t="s">
        <v>2974</v>
      </c>
      <c r="I900">
        <v>1206726</v>
      </c>
      <c r="J900" t="s">
        <v>3263</v>
      </c>
      <c r="K900" t="s">
        <v>4589</v>
      </c>
    </row>
    <row r="901" spans="1:11" x14ac:dyDescent="0.3">
      <c r="A901" t="s">
        <v>3679</v>
      </c>
      <c r="B901" t="s">
        <v>1207</v>
      </c>
      <c r="C901" t="s">
        <v>3259</v>
      </c>
      <c r="D901" t="s">
        <v>4111</v>
      </c>
      <c r="E901" t="s">
        <v>2223</v>
      </c>
      <c r="F901" s="1" t="str">
        <f>HYPERLINK("http://ovidsp.ovid.com/ovidweb.cgi?T=JS&amp;NEWS=n&amp;CSC=Y&amp;PAGE=booktext&amp;D=books&amp;AN=01434788$&amp;XPATH=/PG(0)&amp;EPUB=Y","http://ovidsp.ovid.com/ovidweb.cgi?T=JS&amp;NEWS=n&amp;CSC=Y&amp;PAGE=booktext&amp;D=books&amp;AN=01434788$&amp;XPATH=/PG(0)&amp;EPUB=Y")</f>
        <v>http://ovidsp.ovid.com/ovidweb.cgi?T=JS&amp;NEWS=n&amp;CSC=Y&amp;PAGE=booktext&amp;D=books&amp;AN=01434788$&amp;XPATH=/PG(0)&amp;EPUB=Y</v>
      </c>
      <c r="G901" t="s">
        <v>2139</v>
      </c>
      <c r="H901" t="s">
        <v>2974</v>
      </c>
      <c r="I901">
        <v>1206726</v>
      </c>
      <c r="J901" t="s">
        <v>3263</v>
      </c>
      <c r="K901" t="s">
        <v>3163</v>
      </c>
    </row>
    <row r="902" spans="1:11" x14ac:dyDescent="0.3">
      <c r="A902" t="s">
        <v>2618</v>
      </c>
      <c r="B902" t="s">
        <v>1823</v>
      </c>
      <c r="C902" t="s">
        <v>3409</v>
      </c>
      <c r="D902" t="s">
        <v>4111</v>
      </c>
      <c r="E902" t="s">
        <v>2223</v>
      </c>
      <c r="F902" s="1" t="str">
        <f>HYPERLINK("http://ovidsp.ovid.com/ovidweb.cgi?T=JS&amp;NEWS=n&amp;CSC=Y&amp;PAGE=booktext&amp;D=books&amp;AN=01437539$&amp;XPATH=/PG(0)&amp;EPUB=Y","http://ovidsp.ovid.com/ovidweb.cgi?T=JS&amp;NEWS=n&amp;CSC=Y&amp;PAGE=booktext&amp;D=books&amp;AN=01437539$&amp;XPATH=/PG(0)&amp;EPUB=Y")</f>
        <v>http://ovidsp.ovid.com/ovidweb.cgi?T=JS&amp;NEWS=n&amp;CSC=Y&amp;PAGE=booktext&amp;D=books&amp;AN=01437539$&amp;XPATH=/PG(0)&amp;EPUB=Y</v>
      </c>
      <c r="G902" t="s">
        <v>2139</v>
      </c>
      <c r="H902" t="s">
        <v>2974</v>
      </c>
      <c r="I902">
        <v>1206726</v>
      </c>
      <c r="J902" t="s">
        <v>3263</v>
      </c>
      <c r="K902" t="s">
        <v>1975</v>
      </c>
    </row>
    <row r="903" spans="1:11" x14ac:dyDescent="0.3">
      <c r="A903" t="s">
        <v>2337</v>
      </c>
      <c r="B903" t="s">
        <v>2895</v>
      </c>
      <c r="C903" t="s">
        <v>1245</v>
      </c>
      <c r="D903" t="s">
        <v>4111</v>
      </c>
      <c r="E903" t="s">
        <v>2223</v>
      </c>
      <c r="F903" s="1" t="str">
        <f>HYPERLINK("http://ovidsp.ovid.com/ovidweb.cgi?T=JS&amp;NEWS=n&amp;CSC=Y&amp;PAGE=booktext&amp;D=books&amp;AN=01382763$&amp;XPATH=/PG(0)&amp;EPUB=Y","http://ovidsp.ovid.com/ovidweb.cgi?T=JS&amp;NEWS=n&amp;CSC=Y&amp;PAGE=booktext&amp;D=books&amp;AN=01382763$&amp;XPATH=/PG(0)&amp;EPUB=Y")</f>
        <v>http://ovidsp.ovid.com/ovidweb.cgi?T=JS&amp;NEWS=n&amp;CSC=Y&amp;PAGE=booktext&amp;D=books&amp;AN=01382763$&amp;XPATH=/PG(0)&amp;EPUB=Y</v>
      </c>
      <c r="G903" t="s">
        <v>2139</v>
      </c>
      <c r="H903" t="s">
        <v>2974</v>
      </c>
      <c r="I903">
        <v>1206726</v>
      </c>
      <c r="J903" t="s">
        <v>3263</v>
      </c>
      <c r="K903" t="s">
        <v>1297</v>
      </c>
    </row>
    <row r="904" spans="1:11" x14ac:dyDescent="0.3">
      <c r="A904" t="s">
        <v>2976</v>
      </c>
      <c r="B904" t="s">
        <v>233</v>
      </c>
      <c r="C904" t="s">
        <v>117</v>
      </c>
      <c r="D904" t="s">
        <v>4111</v>
      </c>
      <c r="E904" t="s">
        <v>2223</v>
      </c>
      <c r="F904" s="1" t="str">
        <f>HYPERLINK("http://ovidsp.ovid.com/ovidweb.cgi?T=JS&amp;NEWS=n&amp;CSC=Y&amp;PAGE=booktext&amp;D=books&amp;AN=01382764$&amp;XPATH=/PG(0)&amp;EPUB=Y","http://ovidsp.ovid.com/ovidweb.cgi?T=JS&amp;NEWS=n&amp;CSC=Y&amp;PAGE=booktext&amp;D=books&amp;AN=01382764$&amp;XPATH=/PG(0)&amp;EPUB=Y")</f>
        <v>http://ovidsp.ovid.com/ovidweb.cgi?T=JS&amp;NEWS=n&amp;CSC=Y&amp;PAGE=booktext&amp;D=books&amp;AN=01382764$&amp;XPATH=/PG(0)&amp;EPUB=Y</v>
      </c>
      <c r="G904" t="s">
        <v>2139</v>
      </c>
      <c r="H904" t="s">
        <v>2974</v>
      </c>
      <c r="I904">
        <v>1206726</v>
      </c>
      <c r="J904" t="s">
        <v>3263</v>
      </c>
      <c r="K904" t="s">
        <v>1707</v>
      </c>
    </row>
    <row r="905" spans="1:11" x14ac:dyDescent="0.3">
      <c r="A905" t="s">
        <v>1057</v>
      </c>
      <c r="B905" t="s">
        <v>3553</v>
      </c>
      <c r="C905" t="s">
        <v>4544</v>
      </c>
      <c r="D905" t="s">
        <v>4111</v>
      </c>
      <c r="E905" t="s">
        <v>2223</v>
      </c>
      <c r="F905" s="1" t="str">
        <f>HYPERLINK("http://ovidsp.ovid.com/ovidweb.cgi?T=JS&amp;NEWS=n&amp;CSC=Y&amp;PAGE=booktext&amp;D=books&amp;AN=01382765$&amp;XPATH=/PG(0)&amp;EPUB=Y","http://ovidsp.ovid.com/ovidweb.cgi?T=JS&amp;NEWS=n&amp;CSC=Y&amp;PAGE=booktext&amp;D=books&amp;AN=01382765$&amp;XPATH=/PG(0)&amp;EPUB=Y")</f>
        <v>http://ovidsp.ovid.com/ovidweb.cgi?T=JS&amp;NEWS=n&amp;CSC=Y&amp;PAGE=booktext&amp;D=books&amp;AN=01382765$&amp;XPATH=/PG(0)&amp;EPUB=Y</v>
      </c>
      <c r="G905" t="s">
        <v>2139</v>
      </c>
      <c r="H905" t="s">
        <v>2974</v>
      </c>
      <c r="I905">
        <v>1206726</v>
      </c>
      <c r="J905" t="s">
        <v>3263</v>
      </c>
      <c r="K905" t="s">
        <v>779</v>
      </c>
    </row>
    <row r="906" spans="1:11" x14ac:dyDescent="0.3">
      <c r="A906" t="s">
        <v>4137</v>
      </c>
      <c r="B906" t="s">
        <v>792</v>
      </c>
      <c r="C906" t="s">
        <v>4465</v>
      </c>
      <c r="D906" t="s">
        <v>4111</v>
      </c>
      <c r="E906" t="s">
        <v>2223</v>
      </c>
      <c r="F906" s="1" t="str">
        <f>HYPERLINK("http://ovidsp.ovid.com/ovidweb.cgi?T=JS&amp;NEWS=n&amp;CSC=Y&amp;PAGE=booktext&amp;D=books&amp;AN=01382841$&amp;XPATH=/PG(0)&amp;EPUB=Y","http://ovidsp.ovid.com/ovidweb.cgi?T=JS&amp;NEWS=n&amp;CSC=Y&amp;PAGE=booktext&amp;D=books&amp;AN=01382841$&amp;XPATH=/PG(0)&amp;EPUB=Y")</f>
        <v>http://ovidsp.ovid.com/ovidweb.cgi?T=JS&amp;NEWS=n&amp;CSC=Y&amp;PAGE=booktext&amp;D=books&amp;AN=01382841$&amp;XPATH=/PG(0)&amp;EPUB=Y</v>
      </c>
      <c r="G906" t="s">
        <v>2139</v>
      </c>
      <c r="H906" t="s">
        <v>2974</v>
      </c>
      <c r="I906">
        <v>1206726</v>
      </c>
      <c r="J906" t="s">
        <v>3263</v>
      </c>
      <c r="K906" t="s">
        <v>3337</v>
      </c>
    </row>
    <row r="907" spans="1:11" x14ac:dyDescent="0.3">
      <c r="A907" t="s">
        <v>1479</v>
      </c>
      <c r="B907" t="s">
        <v>2389</v>
      </c>
      <c r="C907" t="s">
        <v>4088</v>
      </c>
      <c r="D907" t="s">
        <v>4111</v>
      </c>
      <c r="E907" t="s">
        <v>2223</v>
      </c>
      <c r="F907" s="1" t="str">
        <f>HYPERLINK("http://ovidsp.ovid.com/ovidweb.cgi?T=JS&amp;NEWS=n&amp;CSC=Y&amp;PAGE=booktext&amp;D=books&amp;AN=01382815$&amp;XPATH=/PG(0)&amp;EPUB=Y","http://ovidsp.ovid.com/ovidweb.cgi?T=JS&amp;NEWS=n&amp;CSC=Y&amp;PAGE=booktext&amp;D=books&amp;AN=01382815$&amp;XPATH=/PG(0)&amp;EPUB=Y")</f>
        <v>http://ovidsp.ovid.com/ovidweb.cgi?T=JS&amp;NEWS=n&amp;CSC=Y&amp;PAGE=booktext&amp;D=books&amp;AN=01382815$&amp;XPATH=/PG(0)&amp;EPUB=Y</v>
      </c>
      <c r="G907" t="s">
        <v>2139</v>
      </c>
      <c r="H907" t="s">
        <v>2974</v>
      </c>
      <c r="I907">
        <v>1206726</v>
      </c>
      <c r="J907" t="s">
        <v>3263</v>
      </c>
      <c r="K907" t="s">
        <v>2436</v>
      </c>
    </row>
    <row r="908" spans="1:11" x14ac:dyDescent="0.3">
      <c r="A908" t="s">
        <v>1395</v>
      </c>
      <c r="B908" t="s">
        <v>4542</v>
      </c>
      <c r="C908" t="s">
        <v>3172</v>
      </c>
      <c r="D908" t="s">
        <v>4111</v>
      </c>
      <c r="E908" t="s">
        <v>1104</v>
      </c>
      <c r="F908" s="1" t="str">
        <f>HYPERLINK("http://ovidsp.ovid.com/ovidweb.cgi?T=JS&amp;NEWS=n&amp;CSC=Y&amp;PAGE=booktext&amp;D=books&amp;AN=01382811$&amp;XPATH=/PG(0)&amp;EPUB=Y","http://ovidsp.ovid.com/ovidweb.cgi?T=JS&amp;NEWS=n&amp;CSC=Y&amp;PAGE=booktext&amp;D=books&amp;AN=01382811$&amp;XPATH=/PG(0)&amp;EPUB=Y")</f>
        <v>http://ovidsp.ovid.com/ovidweb.cgi?T=JS&amp;NEWS=n&amp;CSC=Y&amp;PAGE=booktext&amp;D=books&amp;AN=01382811$&amp;XPATH=/PG(0)&amp;EPUB=Y</v>
      </c>
      <c r="G908" t="s">
        <v>2139</v>
      </c>
      <c r="H908" t="s">
        <v>2974</v>
      </c>
      <c r="I908">
        <v>1206726</v>
      </c>
      <c r="J908" t="s">
        <v>3263</v>
      </c>
      <c r="K908" t="s">
        <v>1196</v>
      </c>
    </row>
    <row r="909" spans="1:11" x14ac:dyDescent="0.3">
      <c r="A909" t="s">
        <v>1395</v>
      </c>
      <c r="B909" t="s">
        <v>15</v>
      </c>
      <c r="C909" t="s">
        <v>2482</v>
      </c>
      <c r="D909" t="s">
        <v>4111</v>
      </c>
      <c r="E909" t="s">
        <v>3051</v>
      </c>
      <c r="F909" s="1" t="str">
        <f>HYPERLINK("http://ovidsp.ovid.com/ovidweb.cgi?T=JS&amp;NEWS=n&amp;CSC=Y&amp;PAGE=booktext&amp;D=books&amp;AN=01437403$&amp;XPATH=/PG(0)&amp;EPUB=Y","http://ovidsp.ovid.com/ovidweb.cgi?T=JS&amp;NEWS=n&amp;CSC=Y&amp;PAGE=booktext&amp;D=books&amp;AN=01437403$&amp;XPATH=/PG(0)&amp;EPUB=Y")</f>
        <v>http://ovidsp.ovid.com/ovidweb.cgi?T=JS&amp;NEWS=n&amp;CSC=Y&amp;PAGE=booktext&amp;D=books&amp;AN=01437403$&amp;XPATH=/PG(0)&amp;EPUB=Y</v>
      </c>
      <c r="G909" t="s">
        <v>2139</v>
      </c>
      <c r="H909" t="s">
        <v>2974</v>
      </c>
      <c r="I909">
        <v>1206726</v>
      </c>
      <c r="J909" t="s">
        <v>3263</v>
      </c>
      <c r="K909" t="s">
        <v>1739</v>
      </c>
    </row>
    <row r="910" spans="1:11" x14ac:dyDescent="0.3">
      <c r="A910" t="s">
        <v>3469</v>
      </c>
      <c r="B910" t="s">
        <v>2609</v>
      </c>
      <c r="C910" t="s">
        <v>3057</v>
      </c>
      <c r="D910" t="s">
        <v>4111</v>
      </c>
      <c r="E910" t="s">
        <v>2223</v>
      </c>
      <c r="F910" s="1" t="str">
        <f>HYPERLINK("http://ovidsp.ovid.com/ovidweb.cgi?T=JS&amp;NEWS=n&amp;CSC=Y&amp;PAGE=booktext&amp;D=books&amp;AN=01382757$&amp;XPATH=/PG(0)&amp;EPUB=Y","http://ovidsp.ovid.com/ovidweb.cgi?T=JS&amp;NEWS=n&amp;CSC=Y&amp;PAGE=booktext&amp;D=books&amp;AN=01382757$&amp;XPATH=/PG(0)&amp;EPUB=Y")</f>
        <v>http://ovidsp.ovid.com/ovidweb.cgi?T=JS&amp;NEWS=n&amp;CSC=Y&amp;PAGE=booktext&amp;D=books&amp;AN=01382757$&amp;XPATH=/PG(0)&amp;EPUB=Y</v>
      </c>
      <c r="G910" t="s">
        <v>2139</v>
      </c>
      <c r="H910" t="s">
        <v>2974</v>
      </c>
      <c r="I910">
        <v>1206726</v>
      </c>
      <c r="J910" t="s">
        <v>3263</v>
      </c>
      <c r="K910" t="s">
        <v>699</v>
      </c>
    </row>
    <row r="911" spans="1:11" x14ac:dyDescent="0.3">
      <c r="A911" t="s">
        <v>3942</v>
      </c>
      <c r="B911" t="s">
        <v>4455</v>
      </c>
      <c r="C911" t="s">
        <v>2610</v>
      </c>
      <c r="D911" t="s">
        <v>4111</v>
      </c>
      <c r="E911" t="s">
        <v>2223</v>
      </c>
      <c r="F911" s="1" t="str">
        <f>HYPERLINK("http://ovidsp.ovid.com/ovidweb.cgi?T=JS&amp;NEWS=n&amp;CSC=Y&amp;PAGE=booktext&amp;D=books&amp;AN=01382883$&amp;XPATH=/PG(0)&amp;EPUB=Y","http://ovidsp.ovid.com/ovidweb.cgi?T=JS&amp;NEWS=n&amp;CSC=Y&amp;PAGE=booktext&amp;D=books&amp;AN=01382883$&amp;XPATH=/PG(0)&amp;EPUB=Y")</f>
        <v>http://ovidsp.ovid.com/ovidweb.cgi?T=JS&amp;NEWS=n&amp;CSC=Y&amp;PAGE=booktext&amp;D=books&amp;AN=01382883$&amp;XPATH=/PG(0)&amp;EPUB=Y</v>
      </c>
      <c r="G911" t="s">
        <v>2139</v>
      </c>
      <c r="H911" t="s">
        <v>2974</v>
      </c>
      <c r="I911">
        <v>1206726</v>
      </c>
      <c r="J911" t="s">
        <v>3263</v>
      </c>
      <c r="K911" t="s">
        <v>2695</v>
      </c>
    </row>
    <row r="912" spans="1:11" x14ac:dyDescent="0.3">
      <c r="A912" t="s">
        <v>3253</v>
      </c>
      <c r="B912" t="s">
        <v>182</v>
      </c>
      <c r="C912" t="s">
        <v>1483</v>
      </c>
      <c r="D912" t="s">
        <v>4111</v>
      </c>
      <c r="E912" t="s">
        <v>2223</v>
      </c>
      <c r="F912" s="1" t="str">
        <f>HYPERLINK("http://ovidsp.ovid.com/ovidweb.cgi?T=JS&amp;NEWS=n&amp;CSC=Y&amp;PAGE=booktext&amp;D=books&amp;AN=01437497$&amp;XPATH=/PG(0)&amp;EPUB=Y","http://ovidsp.ovid.com/ovidweb.cgi?T=JS&amp;NEWS=n&amp;CSC=Y&amp;PAGE=booktext&amp;D=books&amp;AN=01437497$&amp;XPATH=/PG(0)&amp;EPUB=Y")</f>
        <v>http://ovidsp.ovid.com/ovidweb.cgi?T=JS&amp;NEWS=n&amp;CSC=Y&amp;PAGE=booktext&amp;D=books&amp;AN=01437497$&amp;XPATH=/PG(0)&amp;EPUB=Y</v>
      </c>
      <c r="G912" t="s">
        <v>2139</v>
      </c>
      <c r="H912" t="s">
        <v>2974</v>
      </c>
      <c r="I912">
        <v>1206726</v>
      </c>
      <c r="J912" t="s">
        <v>3263</v>
      </c>
      <c r="K912" t="s">
        <v>1377</v>
      </c>
    </row>
    <row r="913" spans="1:11" x14ac:dyDescent="0.3">
      <c r="A913" t="s">
        <v>661</v>
      </c>
      <c r="B913" t="s">
        <v>3219</v>
      </c>
      <c r="C913" t="s">
        <v>581</v>
      </c>
      <c r="D913" t="s">
        <v>4111</v>
      </c>
      <c r="E913" t="s">
        <v>3051</v>
      </c>
      <c r="F913" s="1" t="str">
        <f>HYPERLINK("http://ovidsp.ovid.com/ovidweb.cgi?T=JS&amp;NEWS=n&amp;CSC=Y&amp;PAGE=booktext&amp;D=books&amp;AN=01382415$&amp;XPATH=/PG(0)&amp;EPUB=Y","http://ovidsp.ovid.com/ovidweb.cgi?T=JS&amp;NEWS=n&amp;CSC=Y&amp;PAGE=booktext&amp;D=books&amp;AN=01382415$&amp;XPATH=/PG(0)&amp;EPUB=Y")</f>
        <v>http://ovidsp.ovid.com/ovidweb.cgi?T=JS&amp;NEWS=n&amp;CSC=Y&amp;PAGE=booktext&amp;D=books&amp;AN=01382415$&amp;XPATH=/PG(0)&amp;EPUB=Y</v>
      </c>
      <c r="G913" t="s">
        <v>2139</v>
      </c>
      <c r="H913" t="s">
        <v>2974</v>
      </c>
      <c r="I913">
        <v>1206726</v>
      </c>
      <c r="J913" t="s">
        <v>3263</v>
      </c>
      <c r="K913" t="s">
        <v>2291</v>
      </c>
    </row>
    <row r="914" spans="1:11" x14ac:dyDescent="0.3">
      <c r="A914" t="s">
        <v>661</v>
      </c>
      <c r="B914" t="s">
        <v>2804</v>
      </c>
      <c r="C914" t="s">
        <v>306</v>
      </c>
      <c r="D914" t="s">
        <v>4111</v>
      </c>
      <c r="E914" t="s">
        <v>2876</v>
      </c>
      <c r="F914" s="1" t="str">
        <f>HYPERLINK("http://ovidsp.ovid.com/ovidweb.cgi?T=JS&amp;NEWS=n&amp;CSC=Y&amp;PAGE=booktext&amp;D=books&amp;AN=01745908$&amp;XPATH=/PG(0)&amp;EPUB=Y","http://ovidsp.ovid.com/ovidweb.cgi?T=JS&amp;NEWS=n&amp;CSC=Y&amp;PAGE=booktext&amp;D=books&amp;AN=01745908$&amp;XPATH=/PG(0)&amp;EPUB=Y")</f>
        <v>http://ovidsp.ovid.com/ovidweb.cgi?T=JS&amp;NEWS=n&amp;CSC=Y&amp;PAGE=booktext&amp;D=books&amp;AN=01745908$&amp;XPATH=/PG(0)&amp;EPUB=Y</v>
      </c>
      <c r="G914" t="s">
        <v>2139</v>
      </c>
      <c r="H914" t="s">
        <v>2974</v>
      </c>
      <c r="I914">
        <v>1206726</v>
      </c>
      <c r="J914" t="s">
        <v>3263</v>
      </c>
      <c r="K914" t="s">
        <v>1982</v>
      </c>
    </row>
    <row r="915" spans="1:11" x14ac:dyDescent="0.3">
      <c r="A915" t="s">
        <v>4276</v>
      </c>
      <c r="B915" t="s">
        <v>2894</v>
      </c>
      <c r="C915" t="s">
        <v>1442</v>
      </c>
      <c r="D915" t="s">
        <v>4111</v>
      </c>
      <c r="E915" t="s">
        <v>2223</v>
      </c>
      <c r="F915" s="1" t="str">
        <f>HYPERLINK("http://ovidsp.ovid.com/ovidweb.cgi?T=JS&amp;NEWS=n&amp;CSC=Y&amp;PAGE=booktext&amp;D=books&amp;AN=01437648$&amp;XPATH=/PG(0)&amp;EPUB=Y","http://ovidsp.ovid.com/ovidweb.cgi?T=JS&amp;NEWS=n&amp;CSC=Y&amp;PAGE=booktext&amp;D=books&amp;AN=01437648$&amp;XPATH=/PG(0)&amp;EPUB=Y")</f>
        <v>http://ovidsp.ovid.com/ovidweb.cgi?T=JS&amp;NEWS=n&amp;CSC=Y&amp;PAGE=booktext&amp;D=books&amp;AN=01437648$&amp;XPATH=/PG(0)&amp;EPUB=Y</v>
      </c>
      <c r="G915" t="s">
        <v>2139</v>
      </c>
      <c r="H915" t="s">
        <v>2974</v>
      </c>
      <c r="I915">
        <v>1206726</v>
      </c>
      <c r="J915" t="s">
        <v>3263</v>
      </c>
      <c r="K915" t="s">
        <v>3065</v>
      </c>
    </row>
    <row r="916" spans="1:11" x14ac:dyDescent="0.3">
      <c r="A916" t="s">
        <v>3305</v>
      </c>
      <c r="B916" t="s">
        <v>3261</v>
      </c>
      <c r="C916" t="s">
        <v>1991</v>
      </c>
      <c r="D916" t="s">
        <v>4111</v>
      </c>
      <c r="E916" t="s">
        <v>2223</v>
      </c>
      <c r="F916" s="1" t="str">
        <f>HYPERLINK("http://ovidsp.ovid.com/ovidweb.cgi?T=JS&amp;NEWS=n&amp;CSC=Y&amp;PAGE=booktext&amp;D=books&amp;AN=01337655$&amp;XPATH=/PG(0)&amp;EPUB=Y","http://ovidsp.ovid.com/ovidweb.cgi?T=JS&amp;NEWS=n&amp;CSC=Y&amp;PAGE=booktext&amp;D=books&amp;AN=01337655$&amp;XPATH=/PG(0)&amp;EPUB=Y")</f>
        <v>http://ovidsp.ovid.com/ovidweb.cgi?T=JS&amp;NEWS=n&amp;CSC=Y&amp;PAGE=booktext&amp;D=books&amp;AN=01337655$&amp;XPATH=/PG(0)&amp;EPUB=Y</v>
      </c>
      <c r="G916" t="s">
        <v>2139</v>
      </c>
      <c r="H916" t="s">
        <v>2974</v>
      </c>
      <c r="I916">
        <v>1206726</v>
      </c>
      <c r="J916" t="s">
        <v>3263</v>
      </c>
      <c r="K916" t="s">
        <v>1423</v>
      </c>
    </row>
    <row r="917" spans="1:11" x14ac:dyDescent="0.3">
      <c r="A917" t="s">
        <v>648</v>
      </c>
      <c r="B917" t="s">
        <v>3510</v>
      </c>
      <c r="C917" t="s">
        <v>2458</v>
      </c>
      <c r="D917" t="s">
        <v>4111</v>
      </c>
      <c r="E917" t="s">
        <v>2223</v>
      </c>
      <c r="F917" s="1" t="str">
        <f>HYPERLINK("http://ovidsp.ovid.com/ovidweb.cgi?T=JS&amp;NEWS=n&amp;CSC=Y&amp;PAGE=booktext&amp;D=books&amp;AN=01337656$&amp;XPATH=/PG(0)&amp;EPUB=Y","http://ovidsp.ovid.com/ovidweb.cgi?T=JS&amp;NEWS=n&amp;CSC=Y&amp;PAGE=booktext&amp;D=books&amp;AN=01337656$&amp;XPATH=/PG(0)&amp;EPUB=Y")</f>
        <v>http://ovidsp.ovid.com/ovidweb.cgi?T=JS&amp;NEWS=n&amp;CSC=Y&amp;PAGE=booktext&amp;D=books&amp;AN=01337656$&amp;XPATH=/PG(0)&amp;EPUB=Y</v>
      </c>
      <c r="G917" t="s">
        <v>2139</v>
      </c>
      <c r="H917" t="s">
        <v>2974</v>
      </c>
      <c r="I917">
        <v>1206726</v>
      </c>
      <c r="J917" t="s">
        <v>3263</v>
      </c>
      <c r="K917" t="s">
        <v>1381</v>
      </c>
    </row>
    <row r="918" spans="1:11" x14ac:dyDescent="0.3">
      <c r="A918" t="s">
        <v>2248</v>
      </c>
      <c r="B918" t="s">
        <v>160</v>
      </c>
      <c r="C918" t="s">
        <v>3559</v>
      </c>
      <c r="D918" t="s">
        <v>4111</v>
      </c>
      <c r="E918" t="s">
        <v>3051</v>
      </c>
      <c r="F918" s="1" t="str">
        <f>HYPERLINK("http://ovidsp.ovid.com/ovidweb.cgi?T=JS&amp;NEWS=n&amp;CSC=Y&amp;PAGE=booktext&amp;D=books&amp;AN=01337533$&amp;XPATH=/PG(0)&amp;EPUB=Y","http://ovidsp.ovid.com/ovidweb.cgi?T=JS&amp;NEWS=n&amp;CSC=Y&amp;PAGE=booktext&amp;D=books&amp;AN=01337533$&amp;XPATH=/PG(0)&amp;EPUB=Y")</f>
        <v>http://ovidsp.ovid.com/ovidweb.cgi?T=JS&amp;NEWS=n&amp;CSC=Y&amp;PAGE=booktext&amp;D=books&amp;AN=01337533$&amp;XPATH=/PG(0)&amp;EPUB=Y</v>
      </c>
      <c r="G918" t="s">
        <v>2139</v>
      </c>
      <c r="H918" t="s">
        <v>2974</v>
      </c>
      <c r="I918">
        <v>1206726</v>
      </c>
      <c r="J918" t="s">
        <v>3263</v>
      </c>
      <c r="K918" t="s">
        <v>4336</v>
      </c>
    </row>
    <row r="919" spans="1:11" x14ac:dyDescent="0.3">
      <c r="A919" t="s">
        <v>4395</v>
      </c>
      <c r="B919" t="s">
        <v>736</v>
      </c>
      <c r="C919" t="s">
        <v>2287</v>
      </c>
      <c r="D919" t="s">
        <v>4111</v>
      </c>
      <c r="E919" t="s">
        <v>404</v>
      </c>
      <c r="F919" s="1" t="str">
        <f>HYPERLINK("http://ovidsp.ovid.com/ovidweb.cgi?T=JS&amp;NEWS=n&amp;CSC=Y&amp;PAGE=booktext&amp;D=books&amp;AN=01382417$&amp;XPATH=/PG(0)&amp;EPUB=Y","http://ovidsp.ovid.com/ovidweb.cgi?T=JS&amp;NEWS=n&amp;CSC=Y&amp;PAGE=booktext&amp;D=books&amp;AN=01382417$&amp;XPATH=/PG(0)&amp;EPUB=Y")</f>
        <v>http://ovidsp.ovid.com/ovidweb.cgi?T=JS&amp;NEWS=n&amp;CSC=Y&amp;PAGE=booktext&amp;D=books&amp;AN=01382417$&amp;XPATH=/PG(0)&amp;EPUB=Y</v>
      </c>
      <c r="G919" t="s">
        <v>2139</v>
      </c>
      <c r="H919" t="s">
        <v>2974</v>
      </c>
      <c r="I919">
        <v>1206726</v>
      </c>
      <c r="J919" t="s">
        <v>3263</v>
      </c>
      <c r="K919" t="s">
        <v>2780</v>
      </c>
    </row>
    <row r="920" spans="1:11" x14ac:dyDescent="0.3">
      <c r="A920" t="s">
        <v>4395</v>
      </c>
      <c r="B920" t="s">
        <v>4606</v>
      </c>
      <c r="C920" t="s">
        <v>2592</v>
      </c>
      <c r="D920" t="s">
        <v>4111</v>
      </c>
      <c r="E920" t="s">
        <v>1104</v>
      </c>
      <c r="F920" s="1" t="str">
        <f>HYPERLINK("http://ovidsp.ovid.com/ovidweb.cgi?T=JS&amp;NEWS=n&amp;CSC=Y&amp;PAGE=booktext&amp;D=books&amp;AN=01745911$&amp;XPATH=/PG(0)&amp;EPUB=Y","http://ovidsp.ovid.com/ovidweb.cgi?T=JS&amp;NEWS=n&amp;CSC=Y&amp;PAGE=booktext&amp;D=books&amp;AN=01745911$&amp;XPATH=/PG(0)&amp;EPUB=Y")</f>
        <v>http://ovidsp.ovid.com/ovidweb.cgi?T=JS&amp;NEWS=n&amp;CSC=Y&amp;PAGE=booktext&amp;D=books&amp;AN=01745911$&amp;XPATH=/PG(0)&amp;EPUB=Y</v>
      </c>
      <c r="G920" t="s">
        <v>2139</v>
      </c>
      <c r="H920" t="s">
        <v>2974</v>
      </c>
      <c r="I920">
        <v>1206726</v>
      </c>
      <c r="J920" t="s">
        <v>3263</v>
      </c>
      <c r="K920" t="s">
        <v>4222</v>
      </c>
    </row>
    <row r="921" spans="1:11" x14ac:dyDescent="0.3">
      <c r="A921" t="s">
        <v>1638</v>
      </c>
      <c r="B921" t="s">
        <v>4181</v>
      </c>
      <c r="C921" t="s">
        <v>220</v>
      </c>
      <c r="D921" t="s">
        <v>4111</v>
      </c>
      <c r="E921" t="s">
        <v>2223</v>
      </c>
      <c r="F921" s="1" t="str">
        <f>HYPERLINK("http://ovidsp.ovid.com/ovidweb.cgi?T=JS&amp;NEWS=n&amp;CSC=Y&amp;PAGE=booktext&amp;D=books&amp;AN=01382649$&amp;XPATH=/PG(0)&amp;EPUB=Y","http://ovidsp.ovid.com/ovidweb.cgi?T=JS&amp;NEWS=n&amp;CSC=Y&amp;PAGE=booktext&amp;D=books&amp;AN=01382649$&amp;XPATH=/PG(0)&amp;EPUB=Y")</f>
        <v>http://ovidsp.ovid.com/ovidweb.cgi?T=JS&amp;NEWS=n&amp;CSC=Y&amp;PAGE=booktext&amp;D=books&amp;AN=01382649$&amp;XPATH=/PG(0)&amp;EPUB=Y</v>
      </c>
      <c r="G921" t="s">
        <v>2139</v>
      </c>
      <c r="H921" t="s">
        <v>2974</v>
      </c>
      <c r="I921">
        <v>1206726</v>
      </c>
      <c r="J921" t="s">
        <v>3263</v>
      </c>
      <c r="K921" t="s">
        <v>1828</v>
      </c>
    </row>
    <row r="922" spans="1:11" x14ac:dyDescent="0.3">
      <c r="A922" t="s">
        <v>3</v>
      </c>
      <c r="B922" t="s">
        <v>1838</v>
      </c>
      <c r="C922" t="s">
        <v>553</v>
      </c>
      <c r="D922" t="s">
        <v>4111</v>
      </c>
      <c r="E922" t="s">
        <v>404</v>
      </c>
      <c r="F922" s="1" t="str">
        <f>HYPERLINK("http://ovidsp.ovid.com/ovidweb.cgi?T=JS&amp;NEWS=n&amp;CSC=Y&amp;PAGE=booktext&amp;D=books&amp;AN=01337534$&amp;XPATH=/PG(0)&amp;EPUB=Y","http://ovidsp.ovid.com/ovidweb.cgi?T=JS&amp;NEWS=n&amp;CSC=Y&amp;PAGE=booktext&amp;D=books&amp;AN=01337534$&amp;XPATH=/PG(0)&amp;EPUB=Y")</f>
        <v>http://ovidsp.ovid.com/ovidweb.cgi?T=JS&amp;NEWS=n&amp;CSC=Y&amp;PAGE=booktext&amp;D=books&amp;AN=01337534$&amp;XPATH=/PG(0)&amp;EPUB=Y</v>
      </c>
      <c r="G922" t="s">
        <v>2139</v>
      </c>
      <c r="H922" t="s">
        <v>2974</v>
      </c>
      <c r="I922">
        <v>1206726</v>
      </c>
      <c r="J922" t="s">
        <v>3263</v>
      </c>
      <c r="K922" t="s">
        <v>676</v>
      </c>
    </row>
    <row r="923" spans="1:11" x14ac:dyDescent="0.3">
      <c r="A923" t="s">
        <v>2246</v>
      </c>
      <c r="B923" t="s">
        <v>1273</v>
      </c>
      <c r="C923" t="s">
        <v>2494</v>
      </c>
      <c r="D923" t="s">
        <v>4111</v>
      </c>
      <c r="E923" t="s">
        <v>2223</v>
      </c>
      <c r="F923" s="1" t="str">
        <f>HYPERLINK("http://ovidsp.ovid.com/ovidweb.cgi?T=JS&amp;NEWS=n&amp;CSC=Y&amp;PAGE=booktext&amp;D=books&amp;AN=01437565$&amp;XPATH=/PG(0)&amp;EPUB=Y","http://ovidsp.ovid.com/ovidweb.cgi?T=JS&amp;NEWS=n&amp;CSC=Y&amp;PAGE=booktext&amp;D=books&amp;AN=01437565$&amp;XPATH=/PG(0)&amp;EPUB=Y")</f>
        <v>http://ovidsp.ovid.com/ovidweb.cgi?T=JS&amp;NEWS=n&amp;CSC=Y&amp;PAGE=booktext&amp;D=books&amp;AN=01437565$&amp;XPATH=/PG(0)&amp;EPUB=Y</v>
      </c>
      <c r="G923" t="s">
        <v>2139</v>
      </c>
      <c r="H923" t="s">
        <v>2974</v>
      </c>
      <c r="I923">
        <v>1206726</v>
      </c>
      <c r="J923" t="s">
        <v>3263</v>
      </c>
      <c r="K923" t="s">
        <v>1672</v>
      </c>
    </row>
    <row r="924" spans="1:11" x14ac:dyDescent="0.3">
      <c r="A924" t="s">
        <v>3208</v>
      </c>
      <c r="B924" t="s">
        <v>3041</v>
      </c>
      <c r="C924" t="s">
        <v>1056</v>
      </c>
      <c r="D924" t="s">
        <v>4111</v>
      </c>
      <c r="E924" t="s">
        <v>2223</v>
      </c>
      <c r="F924" s="1" t="str">
        <f>HYPERLINK("http://ovidsp.ovid.com/ovidweb.cgi?T=JS&amp;NEWS=n&amp;CSC=Y&amp;PAGE=booktext&amp;D=books&amp;AN=01337535$&amp;XPATH=/PG(0)&amp;EPUB=Y","http://ovidsp.ovid.com/ovidweb.cgi?T=JS&amp;NEWS=n&amp;CSC=Y&amp;PAGE=booktext&amp;D=books&amp;AN=01337535$&amp;XPATH=/PG(0)&amp;EPUB=Y")</f>
        <v>http://ovidsp.ovid.com/ovidweb.cgi?T=JS&amp;NEWS=n&amp;CSC=Y&amp;PAGE=booktext&amp;D=books&amp;AN=01337535$&amp;XPATH=/PG(0)&amp;EPUB=Y</v>
      </c>
      <c r="G924" t="s">
        <v>2139</v>
      </c>
      <c r="H924" t="s">
        <v>2974</v>
      </c>
      <c r="I924">
        <v>1206726</v>
      </c>
      <c r="J924" t="s">
        <v>3263</v>
      </c>
      <c r="K924" t="s">
        <v>4593</v>
      </c>
    </row>
    <row r="925" spans="1:11" x14ac:dyDescent="0.3">
      <c r="A925" t="s">
        <v>1948</v>
      </c>
      <c r="B925" t="s">
        <v>740</v>
      </c>
      <c r="C925" t="s">
        <v>2919</v>
      </c>
      <c r="D925" t="s">
        <v>4111</v>
      </c>
      <c r="E925" t="s">
        <v>404</v>
      </c>
      <c r="F925" s="1" t="str">
        <f>HYPERLINK("http://ovidsp.ovid.com/ovidweb.cgi?T=JS&amp;NEWS=n&amp;CSC=Y&amp;PAGE=booktext&amp;D=books&amp;AN=01382650$&amp;XPATH=/PG(0)&amp;EPUB=Y","http://ovidsp.ovid.com/ovidweb.cgi?T=JS&amp;NEWS=n&amp;CSC=Y&amp;PAGE=booktext&amp;D=books&amp;AN=01382650$&amp;XPATH=/PG(0)&amp;EPUB=Y")</f>
        <v>http://ovidsp.ovid.com/ovidweb.cgi?T=JS&amp;NEWS=n&amp;CSC=Y&amp;PAGE=booktext&amp;D=books&amp;AN=01382650$&amp;XPATH=/PG(0)&amp;EPUB=Y</v>
      </c>
      <c r="G925" t="s">
        <v>2139</v>
      </c>
      <c r="H925" t="s">
        <v>2974</v>
      </c>
      <c r="I925">
        <v>1206726</v>
      </c>
      <c r="J925" t="s">
        <v>3263</v>
      </c>
      <c r="K925" t="s">
        <v>2932</v>
      </c>
    </row>
    <row r="926" spans="1:11" x14ac:dyDescent="0.3">
      <c r="A926" t="s">
        <v>2650</v>
      </c>
      <c r="B926" t="s">
        <v>4106</v>
      </c>
      <c r="C926" t="s">
        <v>2441</v>
      </c>
      <c r="D926" t="s">
        <v>4111</v>
      </c>
      <c r="E926" t="s">
        <v>2223</v>
      </c>
      <c r="F926" s="1" t="str">
        <f>HYPERLINK("http://ovidsp.ovid.com/ovidweb.cgi?T=JS&amp;NEWS=n&amp;CSC=Y&amp;PAGE=booktext&amp;D=books&amp;AN=01412537$&amp;XPATH=/PG(0)&amp;EPUB=Y","http://ovidsp.ovid.com/ovidweb.cgi?T=JS&amp;NEWS=n&amp;CSC=Y&amp;PAGE=booktext&amp;D=books&amp;AN=01412537$&amp;XPATH=/PG(0)&amp;EPUB=Y")</f>
        <v>http://ovidsp.ovid.com/ovidweb.cgi?T=JS&amp;NEWS=n&amp;CSC=Y&amp;PAGE=booktext&amp;D=books&amp;AN=01412537$&amp;XPATH=/PG(0)&amp;EPUB=Y</v>
      </c>
      <c r="G926" t="s">
        <v>2139</v>
      </c>
      <c r="H926" t="s">
        <v>2974</v>
      </c>
      <c r="I926">
        <v>1206726</v>
      </c>
      <c r="J926" t="s">
        <v>3263</v>
      </c>
      <c r="K926" t="s">
        <v>3814</v>
      </c>
    </row>
    <row r="927" spans="1:11" x14ac:dyDescent="0.3">
      <c r="A927" t="s">
        <v>2088</v>
      </c>
      <c r="B927" t="s">
        <v>1311</v>
      </c>
      <c r="C927" t="s">
        <v>1201</v>
      </c>
      <c r="D927" t="s">
        <v>4111</v>
      </c>
      <c r="E927" t="s">
        <v>2223</v>
      </c>
      <c r="F927" s="1" t="str">
        <f>HYPERLINK("http://ovidsp.ovid.com/ovidweb.cgi?T=JS&amp;NEWS=n&amp;CSC=Y&amp;PAGE=booktext&amp;D=books&amp;AN=01438843$&amp;XPATH=/PG(0)&amp;EPUB=Y","http://ovidsp.ovid.com/ovidweb.cgi?T=JS&amp;NEWS=n&amp;CSC=Y&amp;PAGE=booktext&amp;D=books&amp;AN=01438843$&amp;XPATH=/PG(0)&amp;EPUB=Y")</f>
        <v>http://ovidsp.ovid.com/ovidweb.cgi?T=JS&amp;NEWS=n&amp;CSC=Y&amp;PAGE=booktext&amp;D=books&amp;AN=01438843$&amp;XPATH=/PG(0)&amp;EPUB=Y</v>
      </c>
      <c r="G927" t="s">
        <v>2139</v>
      </c>
      <c r="H927" t="s">
        <v>2974</v>
      </c>
      <c r="I927">
        <v>1206726</v>
      </c>
      <c r="J927" t="s">
        <v>3263</v>
      </c>
      <c r="K927" t="s">
        <v>1183</v>
      </c>
    </row>
    <row r="928" spans="1:11" x14ac:dyDescent="0.3">
      <c r="A928" t="s">
        <v>901</v>
      </c>
      <c r="B928" t="s">
        <v>2899</v>
      </c>
      <c r="C928" t="s">
        <v>3855</v>
      </c>
      <c r="D928" t="s">
        <v>4111</v>
      </c>
      <c r="E928" t="s">
        <v>404</v>
      </c>
      <c r="F928" s="1" t="str">
        <f>HYPERLINK("http://ovidsp.ovid.com/ovidweb.cgi?T=JS&amp;NEWS=n&amp;CSC=Y&amp;PAGE=booktext&amp;D=books&amp;AN=01437566$&amp;XPATH=/PG(0)&amp;EPUB=Y","http://ovidsp.ovid.com/ovidweb.cgi?T=JS&amp;NEWS=n&amp;CSC=Y&amp;PAGE=booktext&amp;D=books&amp;AN=01437566$&amp;XPATH=/PG(0)&amp;EPUB=Y")</f>
        <v>http://ovidsp.ovid.com/ovidweb.cgi?T=JS&amp;NEWS=n&amp;CSC=Y&amp;PAGE=booktext&amp;D=books&amp;AN=01437566$&amp;XPATH=/PG(0)&amp;EPUB=Y</v>
      </c>
      <c r="G928" t="s">
        <v>2139</v>
      </c>
      <c r="H928" t="s">
        <v>2974</v>
      </c>
      <c r="I928">
        <v>1206726</v>
      </c>
      <c r="J928" t="s">
        <v>3263</v>
      </c>
      <c r="K928" t="s">
        <v>3958</v>
      </c>
    </row>
    <row r="929" spans="1:11" x14ac:dyDescent="0.3">
      <c r="A929" t="s">
        <v>252</v>
      </c>
      <c r="B929" t="s">
        <v>2470</v>
      </c>
      <c r="C929" t="s">
        <v>4412</v>
      </c>
      <c r="D929" t="s">
        <v>4111</v>
      </c>
      <c r="E929" t="s">
        <v>3387</v>
      </c>
      <c r="F929" s="1" t="str">
        <f>HYPERLINK("http://ovidsp.ovid.com/ovidweb.cgi?T=JS&amp;NEWS=n&amp;CSC=Y&amp;PAGE=booktext&amp;D=books&amp;AN=01279695$&amp;XPATH=/PG(0)&amp;EPUB=Y","http://ovidsp.ovid.com/ovidweb.cgi?T=JS&amp;NEWS=n&amp;CSC=Y&amp;PAGE=booktext&amp;D=books&amp;AN=01279695$&amp;XPATH=/PG(0)&amp;EPUB=Y")</f>
        <v>http://ovidsp.ovid.com/ovidweb.cgi?T=JS&amp;NEWS=n&amp;CSC=Y&amp;PAGE=booktext&amp;D=books&amp;AN=01279695$&amp;XPATH=/PG(0)&amp;EPUB=Y</v>
      </c>
      <c r="G929" t="s">
        <v>2139</v>
      </c>
      <c r="H929" t="s">
        <v>2974</v>
      </c>
      <c r="I929">
        <v>1206726</v>
      </c>
      <c r="J929" t="s">
        <v>3263</v>
      </c>
      <c r="K929" t="s">
        <v>755</v>
      </c>
    </row>
    <row r="930" spans="1:11" x14ac:dyDescent="0.3">
      <c r="A930" t="s">
        <v>4444</v>
      </c>
      <c r="B930" t="s">
        <v>1061</v>
      </c>
      <c r="C930" t="s">
        <v>3410</v>
      </c>
      <c r="D930" t="s">
        <v>4111</v>
      </c>
      <c r="E930" t="s">
        <v>2223</v>
      </c>
      <c r="F930" s="1" t="str">
        <f>HYPERLINK("http://ovidsp.ovid.com/ovidweb.cgi?T=JS&amp;NEWS=n&amp;CSC=Y&amp;PAGE=booktext&amp;D=books&amp;AN=01382652$&amp;XPATH=/PG(0)&amp;EPUB=Y","http://ovidsp.ovid.com/ovidweb.cgi?T=JS&amp;NEWS=n&amp;CSC=Y&amp;PAGE=booktext&amp;D=books&amp;AN=01382652$&amp;XPATH=/PG(0)&amp;EPUB=Y")</f>
        <v>http://ovidsp.ovid.com/ovidweb.cgi?T=JS&amp;NEWS=n&amp;CSC=Y&amp;PAGE=booktext&amp;D=books&amp;AN=01382652$&amp;XPATH=/PG(0)&amp;EPUB=Y</v>
      </c>
      <c r="G930" t="s">
        <v>2139</v>
      </c>
      <c r="H930" t="s">
        <v>2974</v>
      </c>
      <c r="I930">
        <v>1206726</v>
      </c>
      <c r="J930" t="s">
        <v>3263</v>
      </c>
      <c r="K930" t="s">
        <v>2859</v>
      </c>
    </row>
    <row r="931" spans="1:11" x14ac:dyDescent="0.3">
      <c r="A931" t="s">
        <v>4130</v>
      </c>
      <c r="B931" t="s">
        <v>1408</v>
      </c>
      <c r="C931" t="s">
        <v>2491</v>
      </c>
      <c r="D931" t="s">
        <v>4111</v>
      </c>
      <c r="E931" t="s">
        <v>404</v>
      </c>
      <c r="F931" s="1" t="str">
        <f>HYPERLINK("http://ovidsp.ovid.com/ovidweb.cgi?T=JS&amp;NEWS=n&amp;CSC=Y&amp;PAGE=booktext&amp;D=books&amp;AN=01435738$&amp;XPATH=/PG(0)&amp;EPUB=Y","http://ovidsp.ovid.com/ovidweb.cgi?T=JS&amp;NEWS=n&amp;CSC=Y&amp;PAGE=booktext&amp;D=books&amp;AN=01435738$&amp;XPATH=/PG(0)&amp;EPUB=Y")</f>
        <v>http://ovidsp.ovid.com/ovidweb.cgi?T=JS&amp;NEWS=n&amp;CSC=Y&amp;PAGE=booktext&amp;D=books&amp;AN=01435738$&amp;XPATH=/PG(0)&amp;EPUB=Y</v>
      </c>
      <c r="G931" t="s">
        <v>2139</v>
      </c>
      <c r="H931" t="s">
        <v>2974</v>
      </c>
      <c r="I931">
        <v>1206726</v>
      </c>
      <c r="J931" t="s">
        <v>3263</v>
      </c>
      <c r="K931" t="s">
        <v>3181</v>
      </c>
    </row>
    <row r="932" spans="1:11" x14ac:dyDescent="0.3">
      <c r="A932" t="s">
        <v>3334</v>
      </c>
      <c r="B932" t="s">
        <v>1350</v>
      </c>
      <c r="C932" t="s">
        <v>2515</v>
      </c>
      <c r="D932" t="s">
        <v>4111</v>
      </c>
      <c r="E932" t="s">
        <v>404</v>
      </c>
      <c r="F932" s="1" t="str">
        <f>HYPERLINK("http://ovidsp.ovid.com/ovidweb.cgi?T=JS&amp;NEWS=n&amp;CSC=Y&amp;PAGE=booktext&amp;D=books&amp;AN=01412535$&amp;XPATH=/PG(0)&amp;EPUB=Y","http://ovidsp.ovid.com/ovidweb.cgi?T=JS&amp;NEWS=n&amp;CSC=Y&amp;PAGE=booktext&amp;D=books&amp;AN=01412535$&amp;XPATH=/PG(0)&amp;EPUB=Y")</f>
        <v>http://ovidsp.ovid.com/ovidweb.cgi?T=JS&amp;NEWS=n&amp;CSC=Y&amp;PAGE=booktext&amp;D=books&amp;AN=01412535$&amp;XPATH=/PG(0)&amp;EPUB=Y</v>
      </c>
      <c r="G932" t="s">
        <v>2139</v>
      </c>
      <c r="H932" t="s">
        <v>2974</v>
      </c>
      <c r="I932">
        <v>1206726</v>
      </c>
      <c r="J932" t="s">
        <v>3263</v>
      </c>
      <c r="K932" t="s">
        <v>3613</v>
      </c>
    </row>
    <row r="933" spans="1:11" x14ac:dyDescent="0.3">
      <c r="A933" t="s">
        <v>849</v>
      </c>
      <c r="B933" t="s">
        <v>1877</v>
      </c>
      <c r="C933" t="s">
        <v>773</v>
      </c>
      <c r="D933" t="s">
        <v>4111</v>
      </c>
      <c r="E933" t="s">
        <v>2223</v>
      </c>
      <c r="F933" s="1" t="str">
        <f>HYPERLINK("http://ovidsp.ovid.com/ovidweb.cgi?T=JS&amp;NEWS=n&amp;CSC=Y&amp;PAGE=booktext&amp;D=books&amp;AN=01279696$&amp;XPATH=/PG(0)&amp;EPUB=Y","http://ovidsp.ovid.com/ovidweb.cgi?T=JS&amp;NEWS=n&amp;CSC=Y&amp;PAGE=booktext&amp;D=books&amp;AN=01279696$&amp;XPATH=/PG(0)&amp;EPUB=Y")</f>
        <v>http://ovidsp.ovid.com/ovidweb.cgi?T=JS&amp;NEWS=n&amp;CSC=Y&amp;PAGE=booktext&amp;D=books&amp;AN=01279696$&amp;XPATH=/PG(0)&amp;EPUB=Y</v>
      </c>
      <c r="G933" t="s">
        <v>2139</v>
      </c>
      <c r="H933" t="s">
        <v>2974</v>
      </c>
      <c r="I933">
        <v>1206726</v>
      </c>
      <c r="J933" t="s">
        <v>3263</v>
      </c>
      <c r="K933" t="s">
        <v>4131</v>
      </c>
    </row>
    <row r="934" spans="1:11" x14ac:dyDescent="0.3">
      <c r="A934" t="s">
        <v>690</v>
      </c>
      <c r="B934" t="s">
        <v>4008</v>
      </c>
      <c r="C934" t="s">
        <v>3157</v>
      </c>
      <c r="D934" t="s">
        <v>4111</v>
      </c>
      <c r="E934" t="s">
        <v>404</v>
      </c>
      <c r="F934" s="1" t="str">
        <f>HYPERLINK("http://ovidsp.ovid.com/ovidweb.cgi?T=JS&amp;NEWS=n&amp;CSC=Y&amp;PAGE=booktext&amp;D=books&amp;AN=01337353$&amp;XPATH=/PG(0)&amp;EPUB=Y","http://ovidsp.ovid.com/ovidweb.cgi?T=JS&amp;NEWS=n&amp;CSC=Y&amp;PAGE=booktext&amp;D=books&amp;AN=01337353$&amp;XPATH=/PG(0)&amp;EPUB=Y")</f>
        <v>http://ovidsp.ovid.com/ovidweb.cgi?T=JS&amp;NEWS=n&amp;CSC=Y&amp;PAGE=booktext&amp;D=books&amp;AN=01337353$&amp;XPATH=/PG(0)&amp;EPUB=Y</v>
      </c>
      <c r="G934" t="s">
        <v>2139</v>
      </c>
      <c r="H934" t="s">
        <v>2974</v>
      </c>
      <c r="I934">
        <v>1206726</v>
      </c>
      <c r="J934" t="s">
        <v>3263</v>
      </c>
      <c r="K934" t="s">
        <v>3541</v>
      </c>
    </row>
    <row r="935" spans="1:11" x14ac:dyDescent="0.3">
      <c r="A935" t="s">
        <v>827</v>
      </c>
      <c r="B935" t="s">
        <v>3965</v>
      </c>
      <c r="C935" t="s">
        <v>1873</v>
      </c>
      <c r="D935" t="s">
        <v>4111</v>
      </c>
      <c r="E935" t="s">
        <v>404</v>
      </c>
      <c r="F935" s="1" t="str">
        <f>HYPERLINK("http://ovidsp.ovid.com/ovidweb.cgi?T=JS&amp;NEWS=n&amp;CSC=Y&amp;PAGE=booktext&amp;D=books&amp;AN=01279760$&amp;XPATH=/PG(0)&amp;EPUB=Y","http://ovidsp.ovid.com/ovidweb.cgi?T=JS&amp;NEWS=n&amp;CSC=Y&amp;PAGE=booktext&amp;D=books&amp;AN=01279760$&amp;XPATH=/PG(0)&amp;EPUB=Y")</f>
        <v>http://ovidsp.ovid.com/ovidweb.cgi?T=JS&amp;NEWS=n&amp;CSC=Y&amp;PAGE=booktext&amp;D=books&amp;AN=01279760$&amp;XPATH=/PG(0)&amp;EPUB=Y</v>
      </c>
      <c r="G935" t="s">
        <v>2139</v>
      </c>
      <c r="H935" t="s">
        <v>2974</v>
      </c>
      <c r="I935">
        <v>1206726</v>
      </c>
      <c r="J935" t="s">
        <v>3263</v>
      </c>
      <c r="K935" t="s">
        <v>2832</v>
      </c>
    </row>
    <row r="936" spans="1:11" x14ac:dyDescent="0.3">
      <c r="A936" t="s">
        <v>2354</v>
      </c>
      <c r="B936" t="s">
        <v>204</v>
      </c>
      <c r="C936" t="s">
        <v>1996</v>
      </c>
      <c r="D936" t="s">
        <v>4111</v>
      </c>
      <c r="E936" t="s">
        <v>1104</v>
      </c>
      <c r="F936" s="1" t="str">
        <f>HYPERLINK("http://ovidsp.ovid.com/ovidweb.cgi?T=JS&amp;NEWS=n&amp;CSC=Y&amp;PAGE=booktext&amp;D=books&amp;AN=01337537$&amp;XPATH=/PG(0)&amp;EPUB=Y","http://ovidsp.ovid.com/ovidweb.cgi?T=JS&amp;NEWS=n&amp;CSC=Y&amp;PAGE=booktext&amp;D=books&amp;AN=01337537$&amp;XPATH=/PG(0)&amp;EPUB=Y")</f>
        <v>http://ovidsp.ovid.com/ovidweb.cgi?T=JS&amp;NEWS=n&amp;CSC=Y&amp;PAGE=booktext&amp;D=books&amp;AN=01337537$&amp;XPATH=/PG(0)&amp;EPUB=Y</v>
      </c>
      <c r="G936" t="s">
        <v>2139</v>
      </c>
      <c r="H936" t="s">
        <v>2974</v>
      </c>
      <c r="I936">
        <v>1206726</v>
      </c>
      <c r="J936" t="s">
        <v>3263</v>
      </c>
      <c r="K936" t="s">
        <v>3195</v>
      </c>
    </row>
    <row r="937" spans="1:11" x14ac:dyDescent="0.3">
      <c r="A937" t="s">
        <v>2354</v>
      </c>
      <c r="B937" t="s">
        <v>80</v>
      </c>
      <c r="C937" t="s">
        <v>2035</v>
      </c>
      <c r="D937" t="s">
        <v>4111</v>
      </c>
      <c r="E937" t="s">
        <v>3051</v>
      </c>
      <c r="F937" s="1" t="str">
        <f>HYPERLINK("http://ovidsp.ovid.com/ovidweb.cgi?T=JS&amp;NEWS=n&amp;CSC=Y&amp;PAGE=booktext&amp;D=books&amp;AN=01626615$&amp;XPATH=/PG(0)&amp;EPUB=Y","http://ovidsp.ovid.com/ovidweb.cgi?T=JS&amp;NEWS=n&amp;CSC=Y&amp;PAGE=booktext&amp;D=books&amp;AN=01626615$&amp;XPATH=/PG(0)&amp;EPUB=Y")</f>
        <v>http://ovidsp.ovid.com/ovidweb.cgi?T=JS&amp;NEWS=n&amp;CSC=Y&amp;PAGE=booktext&amp;D=books&amp;AN=01626615$&amp;XPATH=/PG(0)&amp;EPUB=Y</v>
      </c>
      <c r="G937" t="s">
        <v>2139</v>
      </c>
      <c r="H937" t="s">
        <v>2974</v>
      </c>
      <c r="I937">
        <v>1206726</v>
      </c>
      <c r="J937" t="s">
        <v>3263</v>
      </c>
      <c r="K937" t="s">
        <v>3817</v>
      </c>
    </row>
    <row r="938" spans="1:11" x14ac:dyDescent="0.3">
      <c r="A938" t="s">
        <v>1187</v>
      </c>
      <c r="B938" t="s">
        <v>497</v>
      </c>
      <c r="C938" t="s">
        <v>3682</v>
      </c>
      <c r="D938" t="s">
        <v>4111</v>
      </c>
      <c r="E938" t="s">
        <v>2223</v>
      </c>
      <c r="F938" s="1" t="str">
        <f>HYPERLINK("http://ovidsp.ovid.com/ovidweb.cgi?T=JS&amp;NEWS=n&amp;CSC=Y&amp;PAGE=booktext&amp;D=books&amp;AN=01382653$&amp;XPATH=/PG(0)&amp;EPUB=Y","http://ovidsp.ovid.com/ovidweb.cgi?T=JS&amp;NEWS=n&amp;CSC=Y&amp;PAGE=booktext&amp;D=books&amp;AN=01382653$&amp;XPATH=/PG(0)&amp;EPUB=Y")</f>
        <v>http://ovidsp.ovid.com/ovidweb.cgi?T=JS&amp;NEWS=n&amp;CSC=Y&amp;PAGE=booktext&amp;D=books&amp;AN=01382653$&amp;XPATH=/PG(0)&amp;EPUB=Y</v>
      </c>
      <c r="G938" t="s">
        <v>2139</v>
      </c>
      <c r="H938" t="s">
        <v>2974</v>
      </c>
      <c r="I938">
        <v>1206726</v>
      </c>
      <c r="J938" t="s">
        <v>3263</v>
      </c>
      <c r="K938" t="s">
        <v>2149</v>
      </c>
    </row>
    <row r="939" spans="1:11" x14ac:dyDescent="0.3">
      <c r="A939" t="s">
        <v>4491</v>
      </c>
      <c r="B939" t="s">
        <v>530</v>
      </c>
      <c r="C939" t="s">
        <v>3824</v>
      </c>
      <c r="D939" t="s">
        <v>4111</v>
      </c>
      <c r="E939" t="s">
        <v>2223</v>
      </c>
      <c r="F939" s="1" t="str">
        <f>HYPERLINK("http://ovidsp.ovid.com/ovidweb.cgi?T=JS&amp;NEWS=n&amp;CSC=Y&amp;PAGE=booktext&amp;D=books&amp;AN=01257031$&amp;XPATH=/PG(0)&amp;EPUB=Y","http://ovidsp.ovid.com/ovidweb.cgi?T=JS&amp;NEWS=n&amp;CSC=Y&amp;PAGE=booktext&amp;D=books&amp;AN=01257031$&amp;XPATH=/PG(0)&amp;EPUB=Y")</f>
        <v>http://ovidsp.ovid.com/ovidweb.cgi?T=JS&amp;NEWS=n&amp;CSC=Y&amp;PAGE=booktext&amp;D=books&amp;AN=01257031$&amp;XPATH=/PG(0)&amp;EPUB=Y</v>
      </c>
      <c r="G939" t="s">
        <v>2139</v>
      </c>
      <c r="H939" t="s">
        <v>2974</v>
      </c>
      <c r="I939">
        <v>1206726</v>
      </c>
      <c r="J939" t="s">
        <v>3263</v>
      </c>
      <c r="K939" t="s">
        <v>4090</v>
      </c>
    </row>
    <row r="940" spans="1:11" x14ac:dyDescent="0.3">
      <c r="A940" t="s">
        <v>2311</v>
      </c>
      <c r="B940" t="s">
        <v>3472</v>
      </c>
      <c r="C940" t="s">
        <v>407</v>
      </c>
      <c r="D940" t="s">
        <v>4111</v>
      </c>
      <c r="E940" t="s">
        <v>404</v>
      </c>
      <c r="F940" s="1" t="str">
        <f>HYPERLINK("http://ovidsp.ovid.com/ovidweb.cgi?T=JS&amp;NEWS=n&amp;CSC=Y&amp;PAGE=booktext&amp;D=books&amp;AN=01437540$&amp;XPATH=/PG(0)&amp;EPUB=Y","http://ovidsp.ovid.com/ovidweb.cgi?T=JS&amp;NEWS=n&amp;CSC=Y&amp;PAGE=booktext&amp;D=books&amp;AN=01437540$&amp;XPATH=/PG(0)&amp;EPUB=Y")</f>
        <v>http://ovidsp.ovid.com/ovidweb.cgi?T=JS&amp;NEWS=n&amp;CSC=Y&amp;PAGE=booktext&amp;D=books&amp;AN=01437540$&amp;XPATH=/PG(0)&amp;EPUB=Y</v>
      </c>
      <c r="G940" t="s">
        <v>2139</v>
      </c>
      <c r="H940" t="s">
        <v>2974</v>
      </c>
      <c r="I940">
        <v>1206726</v>
      </c>
      <c r="J940" t="s">
        <v>3263</v>
      </c>
      <c r="K940" t="s">
        <v>4723</v>
      </c>
    </row>
    <row r="941" spans="1:11" x14ac:dyDescent="0.3">
      <c r="A941" t="s">
        <v>1521</v>
      </c>
      <c r="B941" t="s">
        <v>812</v>
      </c>
      <c r="C941" t="s">
        <v>273</v>
      </c>
      <c r="D941" t="s">
        <v>4111</v>
      </c>
      <c r="E941" t="s">
        <v>404</v>
      </c>
      <c r="F941" s="1" t="str">
        <f>HYPERLINK("http://ovidsp.ovid.com/ovidweb.cgi?T=JS&amp;NEWS=n&amp;CSC=Y&amp;PAGE=booktext&amp;D=books&amp;AN=01382501$&amp;XPATH=/PG(0)&amp;EPUB=Y","http://ovidsp.ovid.com/ovidweb.cgi?T=JS&amp;NEWS=n&amp;CSC=Y&amp;PAGE=booktext&amp;D=books&amp;AN=01382501$&amp;XPATH=/PG(0)&amp;EPUB=Y")</f>
        <v>http://ovidsp.ovid.com/ovidweb.cgi?T=JS&amp;NEWS=n&amp;CSC=Y&amp;PAGE=booktext&amp;D=books&amp;AN=01382501$&amp;XPATH=/PG(0)&amp;EPUB=Y</v>
      </c>
      <c r="G941" t="s">
        <v>2139</v>
      </c>
      <c r="H941" t="s">
        <v>2974</v>
      </c>
      <c r="I941">
        <v>1206726</v>
      </c>
      <c r="J941" t="s">
        <v>3263</v>
      </c>
      <c r="K941" t="s">
        <v>1886</v>
      </c>
    </row>
    <row r="942" spans="1:11" x14ac:dyDescent="0.3">
      <c r="A942" t="s">
        <v>2108</v>
      </c>
      <c r="B942" t="s">
        <v>828</v>
      </c>
      <c r="C942" t="s">
        <v>2781</v>
      </c>
      <c r="D942" t="s">
        <v>4111</v>
      </c>
      <c r="E942" t="s">
        <v>404</v>
      </c>
      <c r="F942" s="1" t="str">
        <f>HYPERLINK("http://ovidsp.ovid.com/ovidweb.cgi?T=JS&amp;NEWS=n&amp;CSC=Y&amp;PAGE=booktext&amp;D=books&amp;AN=01256975$&amp;XPATH=/PG(0)&amp;EPUB=Y","http://ovidsp.ovid.com/ovidweb.cgi?T=JS&amp;NEWS=n&amp;CSC=Y&amp;PAGE=booktext&amp;D=books&amp;AN=01256975$&amp;XPATH=/PG(0)&amp;EPUB=Y")</f>
        <v>http://ovidsp.ovid.com/ovidweb.cgi?T=JS&amp;NEWS=n&amp;CSC=Y&amp;PAGE=booktext&amp;D=books&amp;AN=01256975$&amp;XPATH=/PG(0)&amp;EPUB=Y</v>
      </c>
      <c r="G942" t="s">
        <v>2139</v>
      </c>
      <c r="H942" t="s">
        <v>2974</v>
      </c>
      <c r="I942">
        <v>1206726</v>
      </c>
      <c r="J942" t="s">
        <v>3263</v>
      </c>
      <c r="K942" t="s">
        <v>1141</v>
      </c>
    </row>
    <row r="943" spans="1:11" x14ac:dyDescent="0.3">
      <c r="A943" t="s">
        <v>363</v>
      </c>
      <c r="B943" t="s">
        <v>971</v>
      </c>
      <c r="C943" t="s">
        <v>2669</v>
      </c>
      <c r="D943" t="s">
        <v>4111</v>
      </c>
      <c r="E943" t="s">
        <v>404</v>
      </c>
      <c r="F943" s="1" t="str">
        <f>HYPERLINK("http://ovidsp.ovid.com/ovidweb.cgi?T=JS&amp;NEWS=n&amp;CSC=Y&amp;PAGE=booktext&amp;D=books&amp;AN=01337570$&amp;XPATH=/PG(0)&amp;EPUB=Y","http://ovidsp.ovid.com/ovidweb.cgi?T=JS&amp;NEWS=n&amp;CSC=Y&amp;PAGE=booktext&amp;D=books&amp;AN=01337570$&amp;XPATH=/PG(0)&amp;EPUB=Y")</f>
        <v>http://ovidsp.ovid.com/ovidweb.cgi?T=JS&amp;NEWS=n&amp;CSC=Y&amp;PAGE=booktext&amp;D=books&amp;AN=01337570$&amp;XPATH=/PG(0)&amp;EPUB=Y</v>
      </c>
      <c r="G943" t="s">
        <v>2139</v>
      </c>
      <c r="H943" t="s">
        <v>2974</v>
      </c>
      <c r="I943">
        <v>1206726</v>
      </c>
      <c r="J943" t="s">
        <v>3263</v>
      </c>
      <c r="K943" t="s">
        <v>1806</v>
      </c>
    </row>
    <row r="944" spans="1:11" x14ac:dyDescent="0.3">
      <c r="A944" t="s">
        <v>3908</v>
      </c>
      <c r="B944" t="s">
        <v>981</v>
      </c>
      <c r="C944" t="s">
        <v>346</v>
      </c>
      <c r="D944" t="s">
        <v>4111</v>
      </c>
      <c r="E944" t="s">
        <v>2223</v>
      </c>
      <c r="F944" s="1" t="str">
        <f>HYPERLINK("http://ovidsp.ovid.com/ovidweb.cgi?T=JS&amp;NEWS=n&amp;CSC=Y&amp;PAGE=booktext&amp;D=books&amp;AN=00139988$&amp;XPATH=/PG(0)&amp;EPUB=Y","http://ovidsp.ovid.com/ovidweb.cgi?T=JS&amp;NEWS=n&amp;CSC=Y&amp;PAGE=booktext&amp;D=books&amp;AN=00139988$&amp;XPATH=/PG(0)&amp;EPUB=Y")</f>
        <v>http://ovidsp.ovid.com/ovidweb.cgi?T=JS&amp;NEWS=n&amp;CSC=Y&amp;PAGE=booktext&amp;D=books&amp;AN=00139988$&amp;XPATH=/PG(0)&amp;EPUB=Y</v>
      </c>
      <c r="G944" t="s">
        <v>2139</v>
      </c>
      <c r="H944" t="s">
        <v>2974</v>
      </c>
      <c r="I944">
        <v>1206726</v>
      </c>
      <c r="J944" t="s">
        <v>3263</v>
      </c>
      <c r="K944" t="s">
        <v>2901</v>
      </c>
    </row>
    <row r="945" spans="1:11" x14ac:dyDescent="0.3">
      <c r="A945" t="s">
        <v>3587</v>
      </c>
      <c r="B945" t="s">
        <v>4713</v>
      </c>
      <c r="C945" t="s">
        <v>746</v>
      </c>
      <c r="D945" t="s">
        <v>4111</v>
      </c>
      <c r="E945" t="s">
        <v>2223</v>
      </c>
      <c r="F945" s="1" t="str">
        <f>HYPERLINK("http://ovidsp.ovid.com/ovidweb.cgi?T=JS&amp;NEWS=n&amp;CSC=Y&amp;PAGE=booktext&amp;D=books&amp;AN=00139989$&amp;XPATH=/PG(0)&amp;EPUB=Y","http://ovidsp.ovid.com/ovidweb.cgi?T=JS&amp;NEWS=n&amp;CSC=Y&amp;PAGE=booktext&amp;D=books&amp;AN=00139989$&amp;XPATH=/PG(0)&amp;EPUB=Y")</f>
        <v>http://ovidsp.ovid.com/ovidweb.cgi?T=JS&amp;NEWS=n&amp;CSC=Y&amp;PAGE=booktext&amp;D=books&amp;AN=00139989$&amp;XPATH=/PG(0)&amp;EPUB=Y</v>
      </c>
      <c r="G945" t="s">
        <v>2139</v>
      </c>
      <c r="H945" t="s">
        <v>2974</v>
      </c>
      <c r="I945">
        <v>1206726</v>
      </c>
      <c r="J945" t="s">
        <v>3263</v>
      </c>
      <c r="K945" t="s">
        <v>2977</v>
      </c>
    </row>
    <row r="946" spans="1:11" x14ac:dyDescent="0.3">
      <c r="A946" t="s">
        <v>765</v>
      </c>
      <c r="B946" t="s">
        <v>1024</v>
      </c>
      <c r="C946" t="s">
        <v>2980</v>
      </c>
      <c r="D946" t="s">
        <v>4111</v>
      </c>
      <c r="E946" t="s">
        <v>3387</v>
      </c>
      <c r="F946" s="1" t="str">
        <f>HYPERLINK("http://ovidsp.ovid.com/ovidweb.cgi?T=JS&amp;NEWS=n&amp;CSC=Y&amp;PAGE=booktext&amp;D=books&amp;AN=01412498$&amp;XPATH=/PG(0)&amp;EPUB=Y","http://ovidsp.ovid.com/ovidweb.cgi?T=JS&amp;NEWS=n&amp;CSC=Y&amp;PAGE=booktext&amp;D=books&amp;AN=01412498$&amp;XPATH=/PG(0)&amp;EPUB=Y")</f>
        <v>http://ovidsp.ovid.com/ovidweb.cgi?T=JS&amp;NEWS=n&amp;CSC=Y&amp;PAGE=booktext&amp;D=books&amp;AN=01412498$&amp;XPATH=/PG(0)&amp;EPUB=Y</v>
      </c>
      <c r="G946" t="s">
        <v>2139</v>
      </c>
      <c r="H946" t="s">
        <v>2974</v>
      </c>
      <c r="I946">
        <v>1206726</v>
      </c>
      <c r="J946" t="s">
        <v>3263</v>
      </c>
      <c r="K946" t="s">
        <v>3375</v>
      </c>
    </row>
    <row r="947" spans="1:11" x14ac:dyDescent="0.3">
      <c r="A947" t="s">
        <v>4262</v>
      </c>
      <c r="B947" t="s">
        <v>2556</v>
      </c>
      <c r="C947" t="s">
        <v>1998</v>
      </c>
      <c r="D947" t="s">
        <v>4111</v>
      </c>
      <c r="E947" t="s">
        <v>2223</v>
      </c>
      <c r="F947" s="1" t="str">
        <f>HYPERLINK("http://ovidsp.ovid.com/ovidweb.cgi?T=JS&amp;NEWS=n&amp;CSC=Y&amp;PAGE=booktext&amp;D=books&amp;AN=00139990$&amp;XPATH=/PG(0)&amp;EPUB=Y","http://ovidsp.ovid.com/ovidweb.cgi?T=JS&amp;NEWS=n&amp;CSC=Y&amp;PAGE=booktext&amp;D=books&amp;AN=00139990$&amp;XPATH=/PG(0)&amp;EPUB=Y")</f>
        <v>http://ovidsp.ovid.com/ovidweb.cgi?T=JS&amp;NEWS=n&amp;CSC=Y&amp;PAGE=booktext&amp;D=books&amp;AN=00139990$&amp;XPATH=/PG(0)&amp;EPUB=Y</v>
      </c>
      <c r="G947" t="s">
        <v>2139</v>
      </c>
      <c r="H947" t="s">
        <v>2974</v>
      </c>
      <c r="I947">
        <v>1206726</v>
      </c>
      <c r="J947" t="s">
        <v>3263</v>
      </c>
      <c r="K947" t="s">
        <v>813</v>
      </c>
    </row>
    <row r="948" spans="1:11" x14ac:dyDescent="0.3">
      <c r="A948" t="s">
        <v>3934</v>
      </c>
      <c r="B948" t="s">
        <v>4020</v>
      </c>
      <c r="C948" t="s">
        <v>4679</v>
      </c>
      <c r="D948" t="s">
        <v>4111</v>
      </c>
      <c r="E948" t="s">
        <v>2223</v>
      </c>
      <c r="F948" s="1" t="str">
        <f>HYPERLINK("http://ovidsp.ovid.com/ovidweb.cgi?T=JS&amp;NEWS=n&amp;CSC=Y&amp;PAGE=booktext&amp;D=books&amp;AN=01382657$&amp;XPATH=/PG(0)&amp;EPUB=Y","http://ovidsp.ovid.com/ovidweb.cgi?T=JS&amp;NEWS=n&amp;CSC=Y&amp;PAGE=booktext&amp;D=books&amp;AN=01382657$&amp;XPATH=/PG(0)&amp;EPUB=Y")</f>
        <v>http://ovidsp.ovid.com/ovidweb.cgi?T=JS&amp;NEWS=n&amp;CSC=Y&amp;PAGE=booktext&amp;D=books&amp;AN=01382657$&amp;XPATH=/PG(0)&amp;EPUB=Y</v>
      </c>
      <c r="G948" t="s">
        <v>2139</v>
      </c>
      <c r="H948" t="s">
        <v>2974</v>
      </c>
      <c r="I948">
        <v>1206726</v>
      </c>
      <c r="J948" t="s">
        <v>3263</v>
      </c>
      <c r="K948" t="s">
        <v>3624</v>
      </c>
    </row>
    <row r="949" spans="1:11" x14ac:dyDescent="0.3">
      <c r="A949" t="s">
        <v>2791</v>
      </c>
      <c r="B949" t="s">
        <v>1699</v>
      </c>
      <c r="C949" t="s">
        <v>4522</v>
      </c>
      <c r="D949" t="s">
        <v>4111</v>
      </c>
      <c r="E949" t="s">
        <v>3051</v>
      </c>
      <c r="F949" s="1" t="str">
        <f>HYPERLINK("http://ovidsp.ovid.com/ovidweb.cgi?T=JS&amp;NEWS=n&amp;CSC=Y&amp;PAGE=booktext&amp;D=books&amp;AN=00139993$&amp;XPATH=/PG(0)&amp;EPUB=Y","http://ovidsp.ovid.com/ovidweb.cgi?T=JS&amp;NEWS=n&amp;CSC=Y&amp;PAGE=booktext&amp;D=books&amp;AN=00139993$&amp;XPATH=/PG(0)&amp;EPUB=Y")</f>
        <v>http://ovidsp.ovid.com/ovidweb.cgi?T=JS&amp;NEWS=n&amp;CSC=Y&amp;PAGE=booktext&amp;D=books&amp;AN=00139993$&amp;XPATH=/PG(0)&amp;EPUB=Y</v>
      </c>
      <c r="G949" t="s">
        <v>2139</v>
      </c>
      <c r="H949" t="s">
        <v>2974</v>
      </c>
      <c r="I949">
        <v>1206726</v>
      </c>
      <c r="J949" t="s">
        <v>3263</v>
      </c>
      <c r="K949" t="s">
        <v>4540</v>
      </c>
    </row>
    <row r="950" spans="1:11" x14ac:dyDescent="0.3">
      <c r="A950" t="s">
        <v>1076</v>
      </c>
      <c r="B950" t="s">
        <v>16</v>
      </c>
      <c r="C950" t="s">
        <v>4584</v>
      </c>
      <c r="D950" t="s">
        <v>4111</v>
      </c>
      <c r="E950" t="s">
        <v>1104</v>
      </c>
      <c r="F950" s="1" t="str">
        <f>HYPERLINK("http://ovidsp.ovid.com/ovidweb.cgi?T=JS&amp;NEWS=n&amp;CSC=Y&amp;PAGE=booktext&amp;D=books&amp;AN=00139991$&amp;XPATH=/PG(0)&amp;EPUB=Y","http://ovidsp.ovid.com/ovidweb.cgi?T=JS&amp;NEWS=n&amp;CSC=Y&amp;PAGE=booktext&amp;D=books&amp;AN=00139991$&amp;XPATH=/PG(0)&amp;EPUB=Y")</f>
        <v>http://ovidsp.ovid.com/ovidweb.cgi?T=JS&amp;NEWS=n&amp;CSC=Y&amp;PAGE=booktext&amp;D=books&amp;AN=00139991$&amp;XPATH=/PG(0)&amp;EPUB=Y</v>
      </c>
      <c r="G950" t="s">
        <v>2139</v>
      </c>
      <c r="H950" t="s">
        <v>2974</v>
      </c>
      <c r="I950">
        <v>1206726</v>
      </c>
      <c r="J950" t="s">
        <v>3263</v>
      </c>
      <c r="K950" t="s">
        <v>295</v>
      </c>
    </row>
    <row r="951" spans="1:11" x14ac:dyDescent="0.3">
      <c r="A951" t="s">
        <v>2881</v>
      </c>
      <c r="B951" t="s">
        <v>554</v>
      </c>
      <c r="C951" t="s">
        <v>28</v>
      </c>
      <c r="D951" t="s">
        <v>4111</v>
      </c>
      <c r="E951" t="s">
        <v>3051</v>
      </c>
      <c r="F951" s="1" t="str">
        <f>HYPERLINK("http://ovidsp.ovid.com/ovidweb.cgi?T=JS&amp;NEWS=n&amp;CSC=Y&amp;PAGE=booktext&amp;D=books&amp;AN=01429664$&amp;XPATH=/PG(0)&amp;EPUB=Y","http://ovidsp.ovid.com/ovidweb.cgi?T=JS&amp;NEWS=n&amp;CSC=Y&amp;PAGE=booktext&amp;D=books&amp;AN=01429664$&amp;XPATH=/PG(0)&amp;EPUB=Y")</f>
        <v>http://ovidsp.ovid.com/ovidweb.cgi?T=JS&amp;NEWS=n&amp;CSC=Y&amp;PAGE=booktext&amp;D=books&amp;AN=01429664$&amp;XPATH=/PG(0)&amp;EPUB=Y</v>
      </c>
      <c r="G951" t="s">
        <v>2139</v>
      </c>
      <c r="H951" t="s">
        <v>2974</v>
      </c>
      <c r="I951">
        <v>1206726</v>
      </c>
      <c r="J951" t="s">
        <v>3263</v>
      </c>
      <c r="K951" t="s">
        <v>1621</v>
      </c>
    </row>
    <row r="952" spans="1:11" x14ac:dyDescent="0.3">
      <c r="A952" t="s">
        <v>2178</v>
      </c>
      <c r="B952" t="s">
        <v>737</v>
      </c>
      <c r="C952" t="s">
        <v>2634</v>
      </c>
      <c r="D952" t="s">
        <v>4111</v>
      </c>
      <c r="E952" t="s">
        <v>1104</v>
      </c>
      <c r="F952" s="1" t="str">
        <f>HYPERLINK("http://ovidsp.ovid.com/ovidweb.cgi?T=JS&amp;NEWS=n&amp;CSC=Y&amp;PAGE=booktext&amp;D=books&amp;AN=00139994$&amp;XPATH=/PG(0)&amp;EPUB=Y","http://ovidsp.ovid.com/ovidweb.cgi?T=JS&amp;NEWS=n&amp;CSC=Y&amp;PAGE=booktext&amp;D=books&amp;AN=00139994$&amp;XPATH=/PG(0)&amp;EPUB=Y")</f>
        <v>http://ovidsp.ovid.com/ovidweb.cgi?T=JS&amp;NEWS=n&amp;CSC=Y&amp;PAGE=booktext&amp;D=books&amp;AN=00139994$&amp;XPATH=/PG(0)&amp;EPUB=Y</v>
      </c>
      <c r="G952" t="s">
        <v>2139</v>
      </c>
      <c r="H952" t="s">
        <v>2974</v>
      </c>
      <c r="I952">
        <v>1206726</v>
      </c>
      <c r="J952" t="s">
        <v>3263</v>
      </c>
      <c r="K952" t="s">
        <v>3460</v>
      </c>
    </row>
    <row r="953" spans="1:11" x14ac:dyDescent="0.3">
      <c r="A953" t="s">
        <v>2670</v>
      </c>
      <c r="B953" t="s">
        <v>2805</v>
      </c>
      <c r="C953" t="s">
        <v>286</v>
      </c>
      <c r="D953" t="s">
        <v>4111</v>
      </c>
      <c r="E953" t="s">
        <v>404</v>
      </c>
      <c r="F953" s="1" t="str">
        <f>HYPERLINK("http://ovidsp.ovid.com/ovidweb.cgi?T=JS&amp;NEWS=n&amp;CSC=Y&amp;PAGE=booktext&amp;D=books&amp;AN=01273131$&amp;XPATH=/PG(0)&amp;EPUB=Y","http://ovidsp.ovid.com/ovidweb.cgi?T=JS&amp;NEWS=n&amp;CSC=Y&amp;PAGE=booktext&amp;D=books&amp;AN=01273131$&amp;XPATH=/PG(0)&amp;EPUB=Y")</f>
        <v>http://ovidsp.ovid.com/ovidweb.cgi?T=JS&amp;NEWS=n&amp;CSC=Y&amp;PAGE=booktext&amp;D=books&amp;AN=01273131$&amp;XPATH=/PG(0)&amp;EPUB=Y</v>
      </c>
      <c r="G953" t="s">
        <v>2139</v>
      </c>
      <c r="H953" t="s">
        <v>2974</v>
      </c>
      <c r="I953">
        <v>1206726</v>
      </c>
      <c r="J953" t="s">
        <v>3263</v>
      </c>
      <c r="K953" t="s">
        <v>361</v>
      </c>
    </row>
    <row r="954" spans="1:11" x14ac:dyDescent="0.3">
      <c r="A954" t="s">
        <v>400</v>
      </c>
      <c r="B954" t="s">
        <v>4659</v>
      </c>
      <c r="C954" t="s">
        <v>1327</v>
      </c>
      <c r="D954" t="s">
        <v>4111</v>
      </c>
      <c r="E954" t="s">
        <v>2223</v>
      </c>
      <c r="F954" s="1" t="str">
        <f>HYPERLINK("http://ovidsp.ovid.com/ovidweb.cgi?T=JS&amp;NEWS=n&amp;CSC=Y&amp;PAGE=booktext&amp;D=books&amp;AN=01382492$&amp;XPATH=/PG(0)&amp;EPUB=Y","http://ovidsp.ovid.com/ovidweb.cgi?T=JS&amp;NEWS=n&amp;CSC=Y&amp;PAGE=booktext&amp;D=books&amp;AN=01382492$&amp;XPATH=/PG(0)&amp;EPUB=Y")</f>
        <v>http://ovidsp.ovid.com/ovidweb.cgi?T=JS&amp;NEWS=n&amp;CSC=Y&amp;PAGE=booktext&amp;D=books&amp;AN=01382492$&amp;XPATH=/PG(0)&amp;EPUB=Y</v>
      </c>
      <c r="G954" t="s">
        <v>2139</v>
      </c>
      <c r="H954" t="s">
        <v>2974</v>
      </c>
      <c r="I954">
        <v>1206726</v>
      </c>
      <c r="J954" t="s">
        <v>3263</v>
      </c>
      <c r="K954" t="s">
        <v>1493</v>
      </c>
    </row>
    <row r="955" spans="1:11" x14ac:dyDescent="0.3">
      <c r="A955" t="s">
        <v>400</v>
      </c>
      <c r="B955" t="s">
        <v>4301</v>
      </c>
      <c r="C955" t="s">
        <v>420</v>
      </c>
      <c r="D955" t="s">
        <v>4111</v>
      </c>
      <c r="E955" t="s">
        <v>404</v>
      </c>
      <c r="F955" s="1" t="str">
        <f>HYPERLINK("http://ovidsp.ovid.com/ovidweb.cgi?T=JS&amp;NEWS=n&amp;CSC=Y&amp;PAGE=booktext&amp;D=books&amp;AN=01477809$&amp;XPATH=/PG(0)&amp;EPUB=Y","http://ovidsp.ovid.com/ovidweb.cgi?T=JS&amp;NEWS=n&amp;CSC=Y&amp;PAGE=booktext&amp;D=books&amp;AN=01477809$&amp;XPATH=/PG(0)&amp;EPUB=Y")</f>
        <v>http://ovidsp.ovid.com/ovidweb.cgi?T=JS&amp;NEWS=n&amp;CSC=Y&amp;PAGE=booktext&amp;D=books&amp;AN=01477809$&amp;XPATH=/PG(0)&amp;EPUB=Y</v>
      </c>
      <c r="G955" t="s">
        <v>2139</v>
      </c>
      <c r="H955" t="s">
        <v>2974</v>
      </c>
      <c r="I955">
        <v>1206726</v>
      </c>
      <c r="J955" t="s">
        <v>3263</v>
      </c>
      <c r="K955" t="s">
        <v>1711</v>
      </c>
    </row>
    <row r="956" spans="1:11" x14ac:dyDescent="0.3">
      <c r="A956" t="s">
        <v>2146</v>
      </c>
      <c r="B956" t="s">
        <v>209</v>
      </c>
      <c r="C956" t="s">
        <v>1590</v>
      </c>
      <c r="D956" t="s">
        <v>4111</v>
      </c>
      <c r="E956" t="s">
        <v>3387</v>
      </c>
      <c r="F956" s="1" t="str">
        <f>HYPERLINK("http://ovidsp.ovid.com/ovidweb.cgi?T=JS&amp;NEWS=n&amp;CSC=Y&amp;PAGE=booktext&amp;D=books&amp;AN=01735162$&amp;XPATH=/PG(0)&amp;EPUB=Y","http://ovidsp.ovid.com/ovidweb.cgi?T=JS&amp;NEWS=n&amp;CSC=Y&amp;PAGE=booktext&amp;D=books&amp;AN=01735162$&amp;XPATH=/PG(0)&amp;EPUB=Y")</f>
        <v>http://ovidsp.ovid.com/ovidweb.cgi?T=JS&amp;NEWS=n&amp;CSC=Y&amp;PAGE=booktext&amp;D=books&amp;AN=01735162$&amp;XPATH=/PG(0)&amp;EPUB=Y</v>
      </c>
      <c r="G956" t="s">
        <v>2139</v>
      </c>
      <c r="H956" t="s">
        <v>2974</v>
      </c>
      <c r="I956">
        <v>1206726</v>
      </c>
      <c r="J956" t="s">
        <v>3263</v>
      </c>
      <c r="K956" t="s">
        <v>633</v>
      </c>
    </row>
    <row r="957" spans="1:11" x14ac:dyDescent="0.3">
      <c r="A957" t="s">
        <v>2146</v>
      </c>
      <c r="B957" t="s">
        <v>3038</v>
      </c>
      <c r="C957" t="s">
        <v>2125</v>
      </c>
      <c r="D957" t="s">
        <v>4111</v>
      </c>
      <c r="E957" t="s">
        <v>2876</v>
      </c>
      <c r="F957" s="1" t="str">
        <f>HYPERLINK("http://ovidsp.ovid.com/ovidweb.cgi?T=JS&amp;NEWS=n&amp;CSC=Y&amp;PAGE=booktext&amp;D=books&amp;AN=01412544$&amp;XPATH=/PG(0)&amp;EPUB=Y","http://ovidsp.ovid.com/ovidweb.cgi?T=JS&amp;NEWS=n&amp;CSC=Y&amp;PAGE=booktext&amp;D=books&amp;AN=01412544$&amp;XPATH=/PG(0)&amp;EPUB=Y")</f>
        <v>http://ovidsp.ovid.com/ovidweb.cgi?T=JS&amp;NEWS=n&amp;CSC=Y&amp;PAGE=booktext&amp;D=books&amp;AN=01412544$&amp;XPATH=/PG(0)&amp;EPUB=Y</v>
      </c>
      <c r="G957" t="s">
        <v>2139</v>
      </c>
      <c r="H957" t="s">
        <v>2974</v>
      </c>
      <c r="I957">
        <v>1206726</v>
      </c>
      <c r="J957" t="s">
        <v>3263</v>
      </c>
      <c r="K957" t="s">
        <v>875</v>
      </c>
    </row>
    <row r="958" spans="1:11" x14ac:dyDescent="0.3">
      <c r="A958" t="s">
        <v>2019</v>
      </c>
      <c r="B958" t="s">
        <v>4151</v>
      </c>
      <c r="C958" t="s">
        <v>674</v>
      </c>
      <c r="D958" t="s">
        <v>4111</v>
      </c>
      <c r="E958" t="s">
        <v>3051</v>
      </c>
      <c r="F958" s="1" t="str">
        <f>HYPERLINK("http://ovidsp.ovid.com/ovidweb.cgi?T=JS&amp;NEWS=n&amp;CSC=Y&amp;PAGE=booktext&amp;D=books&amp;AN=01437105$&amp;XPATH=/PG(0)&amp;EPUB=Y","http://ovidsp.ovid.com/ovidweb.cgi?T=JS&amp;NEWS=n&amp;CSC=Y&amp;PAGE=booktext&amp;D=books&amp;AN=01437105$&amp;XPATH=/PG(0)&amp;EPUB=Y")</f>
        <v>http://ovidsp.ovid.com/ovidweb.cgi?T=JS&amp;NEWS=n&amp;CSC=Y&amp;PAGE=booktext&amp;D=books&amp;AN=01437105$&amp;XPATH=/PG(0)&amp;EPUB=Y</v>
      </c>
      <c r="G958" t="s">
        <v>2139</v>
      </c>
      <c r="H958" t="s">
        <v>2974</v>
      </c>
      <c r="I958">
        <v>1206726</v>
      </c>
      <c r="J958" t="s">
        <v>3263</v>
      </c>
      <c r="K958" t="s">
        <v>4042</v>
      </c>
    </row>
    <row r="959" spans="1:11" x14ac:dyDescent="0.3">
      <c r="A959" t="s">
        <v>2269</v>
      </c>
      <c r="B959" t="s">
        <v>187</v>
      </c>
      <c r="C959" t="s">
        <v>437</v>
      </c>
      <c r="D959" t="s">
        <v>4111</v>
      </c>
      <c r="E959" t="s">
        <v>3387</v>
      </c>
      <c r="F959" s="1" t="str">
        <f>HYPERLINK("http://ovidsp.ovid.com/ovidweb.cgi?T=JS&amp;NEWS=n&amp;CSC=Y&amp;PAGE=booktext&amp;D=books&amp;AN=01437567$&amp;XPATH=/PG(0)&amp;EPUB=Y","http://ovidsp.ovid.com/ovidweb.cgi?T=JS&amp;NEWS=n&amp;CSC=Y&amp;PAGE=booktext&amp;D=books&amp;AN=01437567$&amp;XPATH=/PG(0)&amp;EPUB=Y")</f>
        <v>http://ovidsp.ovid.com/ovidweb.cgi?T=JS&amp;NEWS=n&amp;CSC=Y&amp;PAGE=booktext&amp;D=books&amp;AN=01437567$&amp;XPATH=/PG(0)&amp;EPUB=Y</v>
      </c>
      <c r="G959" t="s">
        <v>2139</v>
      </c>
      <c r="H959" t="s">
        <v>2974</v>
      </c>
      <c r="I959">
        <v>1206726</v>
      </c>
      <c r="J959" t="s">
        <v>3263</v>
      </c>
      <c r="K959" t="s">
        <v>4102</v>
      </c>
    </row>
    <row r="960" spans="1:11" x14ac:dyDescent="0.3">
      <c r="A960" t="s">
        <v>197</v>
      </c>
      <c r="B960" t="s">
        <v>3665</v>
      </c>
      <c r="C960" t="s">
        <v>2937</v>
      </c>
      <c r="D960" t="s">
        <v>4111</v>
      </c>
      <c r="E960" t="s">
        <v>404</v>
      </c>
      <c r="F960" s="1" t="str">
        <f>HYPERLINK("http://ovidsp.ovid.com/ovidweb.cgi?T=JS&amp;NEWS=n&amp;CSC=Y&amp;PAGE=booktext&amp;D=books&amp;AN=01223042$&amp;XPATH=/PG(0)&amp;EPUB=Y","http://ovidsp.ovid.com/ovidweb.cgi?T=JS&amp;NEWS=n&amp;CSC=Y&amp;PAGE=booktext&amp;D=books&amp;AN=01223042$&amp;XPATH=/PG(0)&amp;EPUB=Y")</f>
        <v>http://ovidsp.ovid.com/ovidweb.cgi?T=JS&amp;NEWS=n&amp;CSC=Y&amp;PAGE=booktext&amp;D=books&amp;AN=01223042$&amp;XPATH=/PG(0)&amp;EPUB=Y</v>
      </c>
      <c r="G960" t="s">
        <v>2139</v>
      </c>
      <c r="H960" t="s">
        <v>2974</v>
      </c>
      <c r="I960">
        <v>1206726</v>
      </c>
      <c r="J960" t="s">
        <v>3263</v>
      </c>
      <c r="K960" t="s">
        <v>3862</v>
      </c>
    </row>
    <row r="961" spans="1:11" x14ac:dyDescent="0.3">
      <c r="A961" t="s">
        <v>4114</v>
      </c>
      <c r="B961" t="s">
        <v>4287</v>
      </c>
      <c r="C961" t="s">
        <v>4705</v>
      </c>
      <c r="D961" t="s">
        <v>4111</v>
      </c>
      <c r="E961" t="s">
        <v>404</v>
      </c>
      <c r="F961" s="1" t="str">
        <f>HYPERLINK("http://ovidsp.ovid.com/ovidweb.cgi?T=JS&amp;NEWS=n&amp;CSC=Y&amp;PAGE=booktext&amp;D=books&amp;AN=01400435$&amp;XPATH=/PG(0)&amp;EPUB=Y","http://ovidsp.ovid.com/ovidweb.cgi?T=JS&amp;NEWS=n&amp;CSC=Y&amp;PAGE=booktext&amp;D=books&amp;AN=01400435$&amp;XPATH=/PG(0)&amp;EPUB=Y")</f>
        <v>http://ovidsp.ovid.com/ovidweb.cgi?T=JS&amp;NEWS=n&amp;CSC=Y&amp;PAGE=booktext&amp;D=books&amp;AN=01400435$&amp;XPATH=/PG(0)&amp;EPUB=Y</v>
      </c>
      <c r="G961" t="s">
        <v>2139</v>
      </c>
      <c r="H961" t="s">
        <v>2974</v>
      </c>
      <c r="I961">
        <v>1206726</v>
      </c>
      <c r="J961" t="s">
        <v>3263</v>
      </c>
      <c r="K961" t="s">
        <v>1543</v>
      </c>
    </row>
    <row r="962" spans="1:11" x14ac:dyDescent="0.3">
      <c r="A962" t="s">
        <v>1364</v>
      </c>
      <c r="B962" t="s">
        <v>381</v>
      </c>
      <c r="C962" t="s">
        <v>1404</v>
      </c>
      <c r="D962" t="s">
        <v>4111</v>
      </c>
      <c r="E962" t="s">
        <v>3051</v>
      </c>
      <c r="F962" s="1" t="str">
        <f>HYPERLINK("http://ovidsp.ovid.com/ovidweb.cgi?T=JS&amp;NEWS=n&amp;CSC=Y&amp;PAGE=booktext&amp;D=books&amp;AN=00139992$&amp;XPATH=/PG(0)&amp;EPUB=Y","http://ovidsp.ovid.com/ovidweb.cgi?T=JS&amp;NEWS=n&amp;CSC=Y&amp;PAGE=booktext&amp;D=books&amp;AN=00139992$&amp;XPATH=/PG(0)&amp;EPUB=Y")</f>
        <v>http://ovidsp.ovid.com/ovidweb.cgi?T=JS&amp;NEWS=n&amp;CSC=Y&amp;PAGE=booktext&amp;D=books&amp;AN=00139992$&amp;XPATH=/PG(0)&amp;EPUB=Y</v>
      </c>
      <c r="G962" t="s">
        <v>2139</v>
      </c>
      <c r="H962" t="s">
        <v>2974</v>
      </c>
      <c r="I962">
        <v>1206726</v>
      </c>
      <c r="J962" t="s">
        <v>3263</v>
      </c>
      <c r="K962" t="s">
        <v>4424</v>
      </c>
    </row>
    <row r="963" spans="1:11" x14ac:dyDescent="0.3">
      <c r="A963" t="s">
        <v>984</v>
      </c>
      <c r="B963" t="s">
        <v>1009</v>
      </c>
      <c r="C963" t="s">
        <v>312</v>
      </c>
      <c r="D963" t="s">
        <v>4111</v>
      </c>
      <c r="E963" t="s">
        <v>2223</v>
      </c>
      <c r="F963" s="1" t="str">
        <f>HYPERLINK("http://ovidsp.ovid.com/ovidweb.cgi?T=JS&amp;NEWS=n&amp;CSC=Y&amp;PAGE=booktext&amp;D=books&amp;AN=01412548$&amp;XPATH=/PG(0)&amp;EPUB=Y","http://ovidsp.ovid.com/ovidweb.cgi?T=JS&amp;NEWS=n&amp;CSC=Y&amp;PAGE=booktext&amp;D=books&amp;AN=01412548$&amp;XPATH=/PG(0)&amp;EPUB=Y")</f>
        <v>http://ovidsp.ovid.com/ovidweb.cgi?T=JS&amp;NEWS=n&amp;CSC=Y&amp;PAGE=booktext&amp;D=books&amp;AN=01412548$&amp;XPATH=/PG(0)&amp;EPUB=Y</v>
      </c>
      <c r="G963" t="s">
        <v>2139</v>
      </c>
      <c r="H963" t="s">
        <v>2974</v>
      </c>
      <c r="I963">
        <v>1206726</v>
      </c>
      <c r="J963" t="s">
        <v>3263</v>
      </c>
      <c r="K963" t="s">
        <v>3649</v>
      </c>
    </row>
    <row r="964" spans="1:11" x14ac:dyDescent="0.3">
      <c r="A964" t="s">
        <v>1518</v>
      </c>
      <c r="B964" t="s">
        <v>4229</v>
      </c>
      <c r="C964" t="s">
        <v>3015</v>
      </c>
      <c r="D964" t="s">
        <v>4111</v>
      </c>
      <c r="E964" t="s">
        <v>1104</v>
      </c>
      <c r="F964" s="1" t="str">
        <f>HYPERLINK("http://ovidsp.ovid.com/ovidweb.cgi?T=JS&amp;NEWS=n&amp;CSC=Y&amp;PAGE=booktext&amp;D=books&amp;AN=00149845$&amp;XPATH=/PG(0)&amp;EPUB=Y","http://ovidsp.ovid.com/ovidweb.cgi?T=JS&amp;NEWS=n&amp;CSC=Y&amp;PAGE=booktext&amp;D=books&amp;AN=00149845$&amp;XPATH=/PG(0)&amp;EPUB=Y")</f>
        <v>http://ovidsp.ovid.com/ovidweb.cgi?T=JS&amp;NEWS=n&amp;CSC=Y&amp;PAGE=booktext&amp;D=books&amp;AN=00149845$&amp;XPATH=/PG(0)&amp;EPUB=Y</v>
      </c>
      <c r="G964" t="s">
        <v>2139</v>
      </c>
      <c r="H964" t="s">
        <v>2974</v>
      </c>
      <c r="I964">
        <v>1206726</v>
      </c>
      <c r="J964" t="s">
        <v>3263</v>
      </c>
      <c r="K964" t="s">
        <v>1217</v>
      </c>
    </row>
    <row r="965" spans="1:11" x14ac:dyDescent="0.3">
      <c r="A965" t="s">
        <v>2892</v>
      </c>
      <c r="B965" t="s">
        <v>3008</v>
      </c>
      <c r="C965" t="s">
        <v>1714</v>
      </c>
      <c r="D965" t="s">
        <v>4111</v>
      </c>
      <c r="E965" t="s">
        <v>3051</v>
      </c>
      <c r="F965" s="1" t="str">
        <f>HYPERLINK("http://ovidsp.ovid.com/ovidweb.cgi?T=JS&amp;NEWS=n&amp;CSC=Y&amp;PAGE=booktext&amp;D=books&amp;AN=01412562$&amp;XPATH=/PG(0)&amp;EPUB=Y","http://ovidsp.ovid.com/ovidweb.cgi?T=JS&amp;NEWS=n&amp;CSC=Y&amp;PAGE=booktext&amp;D=books&amp;AN=01412562$&amp;XPATH=/PG(0)&amp;EPUB=Y")</f>
        <v>http://ovidsp.ovid.com/ovidweb.cgi?T=JS&amp;NEWS=n&amp;CSC=Y&amp;PAGE=booktext&amp;D=books&amp;AN=01412562$&amp;XPATH=/PG(0)&amp;EPUB=Y</v>
      </c>
      <c r="G965" t="s">
        <v>2139</v>
      </c>
      <c r="H965" t="s">
        <v>2974</v>
      </c>
      <c r="I965">
        <v>1206726</v>
      </c>
      <c r="J965" t="s">
        <v>3263</v>
      </c>
      <c r="K965" t="s">
        <v>1683</v>
      </c>
    </row>
    <row r="966" spans="1:11" x14ac:dyDescent="0.3">
      <c r="A966" t="s">
        <v>844</v>
      </c>
      <c r="B966" t="s">
        <v>2572</v>
      </c>
      <c r="C966" t="s">
        <v>677</v>
      </c>
      <c r="D966" t="s">
        <v>4111</v>
      </c>
      <c r="E966" t="s">
        <v>2223</v>
      </c>
      <c r="F966" s="1" t="str">
        <f>HYPERLINK("http://ovidsp.ovid.com/ovidweb.cgi?T=JS&amp;NEWS=n&amp;CSC=Y&amp;PAGE=booktext&amp;D=books&amp;AN=01439421$&amp;XPATH=/PG(0)&amp;EPUB=Y","http://ovidsp.ovid.com/ovidweb.cgi?T=JS&amp;NEWS=n&amp;CSC=Y&amp;PAGE=booktext&amp;D=books&amp;AN=01439421$&amp;XPATH=/PG(0)&amp;EPUB=Y")</f>
        <v>http://ovidsp.ovid.com/ovidweb.cgi?T=JS&amp;NEWS=n&amp;CSC=Y&amp;PAGE=booktext&amp;D=books&amp;AN=01439421$&amp;XPATH=/PG(0)&amp;EPUB=Y</v>
      </c>
      <c r="G966" t="s">
        <v>2139</v>
      </c>
      <c r="H966" t="s">
        <v>2974</v>
      </c>
      <c r="I966">
        <v>1206726</v>
      </c>
      <c r="J966" t="s">
        <v>3263</v>
      </c>
      <c r="K966" t="s">
        <v>2824</v>
      </c>
    </row>
    <row r="967" spans="1:11" x14ac:dyDescent="0.3">
      <c r="A967" t="s">
        <v>1167</v>
      </c>
      <c r="B967" t="s">
        <v>2272</v>
      </c>
      <c r="C967" t="s">
        <v>1386</v>
      </c>
      <c r="D967" t="s">
        <v>4111</v>
      </c>
      <c r="E967" t="s">
        <v>1595</v>
      </c>
      <c r="F967" s="1" t="str">
        <f>HYPERLINK("http://ovidsp.ovid.com/ovidweb.cgi?T=JS&amp;NEWS=n&amp;CSC=Y&amp;PAGE=booktext&amp;D=books&amp;AN=00139997$&amp;XPATH=/PG(0)&amp;EPUB=Y","http://ovidsp.ovid.com/ovidweb.cgi?T=JS&amp;NEWS=n&amp;CSC=Y&amp;PAGE=booktext&amp;D=books&amp;AN=00139997$&amp;XPATH=/PG(0)&amp;EPUB=Y")</f>
        <v>http://ovidsp.ovid.com/ovidweb.cgi?T=JS&amp;NEWS=n&amp;CSC=Y&amp;PAGE=booktext&amp;D=books&amp;AN=00139997$&amp;XPATH=/PG(0)&amp;EPUB=Y</v>
      </c>
      <c r="G967" t="s">
        <v>2139</v>
      </c>
      <c r="H967" t="s">
        <v>2974</v>
      </c>
      <c r="I967">
        <v>1206726</v>
      </c>
      <c r="J967" t="s">
        <v>3263</v>
      </c>
      <c r="K967" t="s">
        <v>574</v>
      </c>
    </row>
    <row r="968" spans="1:11" x14ac:dyDescent="0.3">
      <c r="A968" t="s">
        <v>2047</v>
      </c>
      <c r="B968" t="s">
        <v>3014</v>
      </c>
      <c r="C968" t="s">
        <v>3465</v>
      </c>
      <c r="D968" t="s">
        <v>4111</v>
      </c>
      <c r="E968" t="s">
        <v>3051</v>
      </c>
      <c r="F968" s="1" t="str">
        <f>HYPERLINK("http://ovidsp.ovid.com/ovidweb.cgi?T=JS&amp;NEWS=n&amp;CSC=Y&amp;PAGE=booktext&amp;D=books&amp;AN=01382658$&amp;XPATH=/PG(0)&amp;EPUB=Y","http://ovidsp.ovid.com/ovidweb.cgi?T=JS&amp;NEWS=n&amp;CSC=Y&amp;PAGE=booktext&amp;D=books&amp;AN=01382658$&amp;XPATH=/PG(0)&amp;EPUB=Y")</f>
        <v>http://ovidsp.ovid.com/ovidweb.cgi?T=JS&amp;NEWS=n&amp;CSC=Y&amp;PAGE=booktext&amp;D=books&amp;AN=01382658$&amp;XPATH=/PG(0)&amp;EPUB=Y</v>
      </c>
      <c r="G968" t="s">
        <v>2139</v>
      </c>
      <c r="H968" t="s">
        <v>2974</v>
      </c>
      <c r="I968">
        <v>1206726</v>
      </c>
      <c r="J968" t="s">
        <v>3263</v>
      </c>
      <c r="K968" t="s">
        <v>3435</v>
      </c>
    </row>
    <row r="969" spans="1:11" x14ac:dyDescent="0.3">
      <c r="A969" t="s">
        <v>1874</v>
      </c>
      <c r="B969" t="s">
        <v>602</v>
      </c>
      <c r="C969" t="s">
        <v>2524</v>
      </c>
      <c r="D969" t="s">
        <v>4111</v>
      </c>
      <c r="E969" t="s">
        <v>2223</v>
      </c>
      <c r="F969" s="1" t="str">
        <f>HYPERLINK("http://ovidsp.ovid.com/ovidweb.cgi?T=JS&amp;NEWS=n&amp;CSC=Y&amp;PAGE=booktext&amp;D=books&amp;AN=01337538$&amp;XPATH=/PG(0)&amp;EPUB=Y","http://ovidsp.ovid.com/ovidweb.cgi?T=JS&amp;NEWS=n&amp;CSC=Y&amp;PAGE=booktext&amp;D=books&amp;AN=01337538$&amp;XPATH=/PG(0)&amp;EPUB=Y")</f>
        <v>http://ovidsp.ovid.com/ovidweb.cgi?T=JS&amp;NEWS=n&amp;CSC=Y&amp;PAGE=booktext&amp;D=books&amp;AN=01337538$&amp;XPATH=/PG(0)&amp;EPUB=Y</v>
      </c>
      <c r="G969" t="s">
        <v>2139</v>
      </c>
      <c r="H969" t="s">
        <v>2974</v>
      </c>
      <c r="I969">
        <v>1206726</v>
      </c>
      <c r="J969" t="s">
        <v>3263</v>
      </c>
      <c r="K969" t="s">
        <v>470</v>
      </c>
    </row>
    <row r="970" spans="1:11" x14ac:dyDescent="0.3">
      <c r="A970" t="s">
        <v>3639</v>
      </c>
      <c r="B970" t="s">
        <v>1588</v>
      </c>
      <c r="C970" t="s">
        <v>1519</v>
      </c>
      <c r="D970" t="s">
        <v>4111</v>
      </c>
      <c r="E970" t="s">
        <v>2223</v>
      </c>
      <c r="F970" s="1" t="str">
        <f>HYPERLINK("http://ovidsp.ovid.com/ovidweb.cgi?T=JS&amp;NEWS=n&amp;CSC=Y&amp;PAGE=booktext&amp;D=books&amp;AN=01382587$&amp;XPATH=/PG(0)&amp;EPUB=Y","http://ovidsp.ovid.com/ovidweb.cgi?T=JS&amp;NEWS=n&amp;CSC=Y&amp;PAGE=booktext&amp;D=books&amp;AN=01382587$&amp;XPATH=/PG(0)&amp;EPUB=Y")</f>
        <v>http://ovidsp.ovid.com/ovidweb.cgi?T=JS&amp;NEWS=n&amp;CSC=Y&amp;PAGE=booktext&amp;D=books&amp;AN=01382587$&amp;XPATH=/PG(0)&amp;EPUB=Y</v>
      </c>
      <c r="G970" t="s">
        <v>2139</v>
      </c>
      <c r="H970" t="s">
        <v>2974</v>
      </c>
      <c r="I970">
        <v>1206726</v>
      </c>
      <c r="J970" t="s">
        <v>3263</v>
      </c>
      <c r="K970" t="s">
        <v>2120</v>
      </c>
    </row>
    <row r="971" spans="1:11" x14ac:dyDescent="0.3">
      <c r="A971" t="s">
        <v>1793</v>
      </c>
      <c r="B971" t="s">
        <v>1770</v>
      </c>
      <c r="C971" t="s">
        <v>3669</v>
      </c>
      <c r="D971" t="s">
        <v>4111</v>
      </c>
      <c r="E971" t="s">
        <v>3051</v>
      </c>
      <c r="F971" s="1" t="str">
        <f>HYPERLINK("http://ovidsp.ovid.com/ovidweb.cgi?T=JS&amp;NEWS=n&amp;CSC=Y&amp;PAGE=booktext&amp;D=books&amp;AN=01279707$&amp;XPATH=/PG(0)&amp;EPUB=Y","http://ovidsp.ovid.com/ovidweb.cgi?T=JS&amp;NEWS=n&amp;CSC=Y&amp;PAGE=booktext&amp;D=books&amp;AN=01279707$&amp;XPATH=/PG(0)&amp;EPUB=Y")</f>
        <v>http://ovidsp.ovid.com/ovidweb.cgi?T=JS&amp;NEWS=n&amp;CSC=Y&amp;PAGE=booktext&amp;D=books&amp;AN=01279707$&amp;XPATH=/PG(0)&amp;EPUB=Y</v>
      </c>
      <c r="G971" t="s">
        <v>2139</v>
      </c>
      <c r="H971" t="s">
        <v>2974</v>
      </c>
      <c r="I971">
        <v>1206726</v>
      </c>
      <c r="J971" t="s">
        <v>3263</v>
      </c>
      <c r="K971" t="s">
        <v>1417</v>
      </c>
    </row>
    <row r="972" spans="1:11" x14ac:dyDescent="0.3">
      <c r="A972" t="s">
        <v>2774</v>
      </c>
      <c r="B972" t="s">
        <v>2690</v>
      </c>
      <c r="C972" t="s">
        <v>3758</v>
      </c>
      <c r="D972" t="s">
        <v>4111</v>
      </c>
      <c r="E972" t="s">
        <v>2223</v>
      </c>
      <c r="F972" s="1" t="str">
        <f>HYPERLINK("http://ovidsp.ovid.com/ovidweb.cgi?T=JS&amp;NEWS=n&amp;CSC=Y&amp;PAGE=booktext&amp;D=books&amp;AN=01382870$&amp;XPATH=/PG(0)&amp;EPUB=Y","http://ovidsp.ovid.com/ovidweb.cgi?T=JS&amp;NEWS=n&amp;CSC=Y&amp;PAGE=booktext&amp;D=books&amp;AN=01382870$&amp;XPATH=/PG(0)&amp;EPUB=Y")</f>
        <v>http://ovidsp.ovid.com/ovidweb.cgi?T=JS&amp;NEWS=n&amp;CSC=Y&amp;PAGE=booktext&amp;D=books&amp;AN=01382870$&amp;XPATH=/PG(0)&amp;EPUB=Y</v>
      </c>
      <c r="G972" t="s">
        <v>2139</v>
      </c>
      <c r="H972" t="s">
        <v>2974</v>
      </c>
      <c r="I972">
        <v>1206726</v>
      </c>
      <c r="J972" t="s">
        <v>3263</v>
      </c>
      <c r="K972" t="s">
        <v>2920</v>
      </c>
    </row>
    <row r="973" spans="1:11" x14ac:dyDescent="0.3">
      <c r="A973" t="s">
        <v>2678</v>
      </c>
      <c r="B973" t="s">
        <v>1447</v>
      </c>
      <c r="C973" t="s">
        <v>2817</v>
      </c>
      <c r="D973" t="s">
        <v>4111</v>
      </c>
      <c r="E973" t="s">
        <v>2223</v>
      </c>
      <c r="F973" s="1" t="str">
        <f>HYPERLINK("http://ovidsp.ovid.com/ovidweb.cgi?T=JS&amp;NEWS=n&amp;CSC=Y&amp;PAGE=booktext&amp;D=books&amp;AN=01382881$&amp;XPATH=/PG(0)&amp;EPUB=Y","http://ovidsp.ovid.com/ovidweb.cgi?T=JS&amp;NEWS=n&amp;CSC=Y&amp;PAGE=booktext&amp;D=books&amp;AN=01382881$&amp;XPATH=/PG(0)&amp;EPUB=Y")</f>
        <v>http://ovidsp.ovid.com/ovidweb.cgi?T=JS&amp;NEWS=n&amp;CSC=Y&amp;PAGE=booktext&amp;D=books&amp;AN=01382881$&amp;XPATH=/PG(0)&amp;EPUB=Y</v>
      </c>
      <c r="G973" t="s">
        <v>2139</v>
      </c>
      <c r="H973" t="s">
        <v>2974</v>
      </c>
      <c r="I973">
        <v>1206726</v>
      </c>
      <c r="J973" t="s">
        <v>3263</v>
      </c>
      <c r="K973" t="s">
        <v>18</v>
      </c>
    </row>
    <row r="974" spans="1:11" x14ac:dyDescent="0.3">
      <c r="A974" t="s">
        <v>3808</v>
      </c>
      <c r="B974" t="s">
        <v>4576</v>
      </c>
      <c r="C974" t="s">
        <v>249</v>
      </c>
      <c r="D974" t="s">
        <v>4111</v>
      </c>
      <c r="E974" t="s">
        <v>4250</v>
      </c>
      <c r="F974" s="1" t="str">
        <f>HYPERLINK("http://ovidsp.ovid.com/ovidweb.cgi?T=JS&amp;NEWS=n&amp;CSC=Y&amp;PAGE=booktext&amp;D=books&amp;AN=01382740$&amp;XPATH=/PG(0)&amp;EPUB=Y","http://ovidsp.ovid.com/ovidweb.cgi?T=JS&amp;NEWS=n&amp;CSC=Y&amp;PAGE=booktext&amp;D=books&amp;AN=01382740$&amp;XPATH=/PG(0)&amp;EPUB=Y")</f>
        <v>http://ovidsp.ovid.com/ovidweb.cgi?T=JS&amp;NEWS=n&amp;CSC=Y&amp;PAGE=booktext&amp;D=books&amp;AN=01382740$&amp;XPATH=/PG(0)&amp;EPUB=Y</v>
      </c>
      <c r="G974" t="s">
        <v>2139</v>
      </c>
      <c r="H974" t="s">
        <v>2974</v>
      </c>
      <c r="I974">
        <v>1206726</v>
      </c>
      <c r="J974" t="s">
        <v>3263</v>
      </c>
      <c r="K974" t="s">
        <v>4560</v>
      </c>
    </row>
    <row r="975" spans="1:11" x14ac:dyDescent="0.3">
      <c r="A975" t="s">
        <v>3808</v>
      </c>
      <c r="B975" t="s">
        <v>2622</v>
      </c>
      <c r="C975" t="s">
        <v>3144</v>
      </c>
      <c r="D975" t="s">
        <v>4111</v>
      </c>
      <c r="E975" t="s">
        <v>2565</v>
      </c>
      <c r="F975" s="1" t="str">
        <f>HYPERLINK("http://ovidsp.ovid.com/ovidweb.cgi?T=JS&amp;NEWS=n&amp;CSC=Y&amp;PAGE=booktext&amp;D=books&amp;AN=01648003$&amp;XPATH=/PG(0)&amp;EPUB=Y","http://ovidsp.ovid.com/ovidweb.cgi?T=JS&amp;NEWS=n&amp;CSC=Y&amp;PAGE=booktext&amp;D=books&amp;AN=01648003$&amp;XPATH=/PG(0)&amp;EPUB=Y")</f>
        <v>http://ovidsp.ovid.com/ovidweb.cgi?T=JS&amp;NEWS=n&amp;CSC=Y&amp;PAGE=booktext&amp;D=books&amp;AN=01648003$&amp;XPATH=/PG(0)&amp;EPUB=Y</v>
      </c>
      <c r="G975" t="s">
        <v>2139</v>
      </c>
      <c r="H975" t="s">
        <v>2974</v>
      </c>
      <c r="I975">
        <v>1206726</v>
      </c>
      <c r="J975" t="s">
        <v>3263</v>
      </c>
      <c r="K975" t="s">
        <v>2662</v>
      </c>
    </row>
    <row r="976" spans="1:11" x14ac:dyDescent="0.3">
      <c r="A976" t="s">
        <v>526</v>
      </c>
      <c r="B976" t="s">
        <v>1188</v>
      </c>
      <c r="C976" t="s">
        <v>138</v>
      </c>
      <c r="D976" t="s">
        <v>4111</v>
      </c>
      <c r="E976" t="s">
        <v>404</v>
      </c>
      <c r="F976" s="1" t="str">
        <f>HYPERLINK("http://ovidsp.ovid.com/ovidweb.cgi?T=JS&amp;NEWS=n&amp;CSC=Y&amp;PAGE=booktext&amp;D=books&amp;AN=01382820$&amp;XPATH=/PG(0)&amp;EPUB=Y","http://ovidsp.ovid.com/ovidweb.cgi?T=JS&amp;NEWS=n&amp;CSC=Y&amp;PAGE=booktext&amp;D=books&amp;AN=01382820$&amp;XPATH=/PG(0)&amp;EPUB=Y")</f>
        <v>http://ovidsp.ovid.com/ovidweb.cgi?T=JS&amp;NEWS=n&amp;CSC=Y&amp;PAGE=booktext&amp;D=books&amp;AN=01382820$&amp;XPATH=/PG(0)&amp;EPUB=Y</v>
      </c>
      <c r="G976" t="s">
        <v>2139</v>
      </c>
      <c r="H976" t="s">
        <v>2974</v>
      </c>
      <c r="I976">
        <v>1206726</v>
      </c>
      <c r="J976" t="s">
        <v>3263</v>
      </c>
      <c r="K976" t="s">
        <v>144</v>
      </c>
    </row>
    <row r="977" spans="1:11" x14ac:dyDescent="0.3">
      <c r="A977" t="s">
        <v>526</v>
      </c>
      <c r="B977" t="s">
        <v>716</v>
      </c>
      <c r="C977" t="s">
        <v>4567</v>
      </c>
      <c r="D977" t="s">
        <v>4111</v>
      </c>
      <c r="E977" t="s">
        <v>1104</v>
      </c>
      <c r="F977" s="1" t="str">
        <f>HYPERLINK("http://ovidsp.ovid.com/ovidweb.cgi?T=JS&amp;NEWS=n&amp;CSC=Y&amp;PAGE=booktext&amp;D=books&amp;AN=01437404$&amp;XPATH=/PG(0)&amp;EPUB=Y","http://ovidsp.ovid.com/ovidweb.cgi?T=JS&amp;NEWS=n&amp;CSC=Y&amp;PAGE=booktext&amp;D=books&amp;AN=01437404$&amp;XPATH=/PG(0)&amp;EPUB=Y")</f>
        <v>http://ovidsp.ovid.com/ovidweb.cgi?T=JS&amp;NEWS=n&amp;CSC=Y&amp;PAGE=booktext&amp;D=books&amp;AN=01437404$&amp;XPATH=/PG(0)&amp;EPUB=Y</v>
      </c>
      <c r="G977" t="s">
        <v>2139</v>
      </c>
      <c r="H977" t="s">
        <v>2974</v>
      </c>
      <c r="I977">
        <v>1206726</v>
      </c>
      <c r="J977" t="s">
        <v>3263</v>
      </c>
      <c r="K977" t="s">
        <v>2945</v>
      </c>
    </row>
    <row r="978" spans="1:11" x14ac:dyDescent="0.3">
      <c r="A978" t="s">
        <v>2602</v>
      </c>
      <c r="B978" t="s">
        <v>4609</v>
      </c>
      <c r="C978" t="s">
        <v>2419</v>
      </c>
      <c r="D978" t="s">
        <v>4111</v>
      </c>
      <c r="E978" t="s">
        <v>2876</v>
      </c>
      <c r="F978" s="1" t="str">
        <f>HYPERLINK("http://ovidsp.ovid.com/ovidweb.cgi?T=JS&amp;NEWS=n&amp;CSC=Y&amp;PAGE=booktext&amp;D=books&amp;AN=01223036$&amp;XPATH=/PG(0)&amp;EPUB=Y","http://ovidsp.ovid.com/ovidweb.cgi?T=JS&amp;NEWS=n&amp;CSC=Y&amp;PAGE=booktext&amp;D=books&amp;AN=01223036$&amp;XPATH=/PG(0)&amp;EPUB=Y")</f>
        <v>http://ovidsp.ovid.com/ovidweb.cgi?T=JS&amp;NEWS=n&amp;CSC=Y&amp;PAGE=booktext&amp;D=books&amp;AN=01223036$&amp;XPATH=/PG(0)&amp;EPUB=Y</v>
      </c>
      <c r="G978" t="s">
        <v>2139</v>
      </c>
      <c r="H978" t="s">
        <v>2974</v>
      </c>
      <c r="I978">
        <v>1206726</v>
      </c>
      <c r="J978" t="s">
        <v>3263</v>
      </c>
      <c r="K978" t="s">
        <v>3001</v>
      </c>
    </row>
    <row r="979" spans="1:11" x14ac:dyDescent="0.3">
      <c r="A979" t="s">
        <v>3450</v>
      </c>
      <c r="B979" t="s">
        <v>3935</v>
      </c>
      <c r="C979" t="s">
        <v>2752</v>
      </c>
      <c r="D979" t="s">
        <v>4111</v>
      </c>
      <c r="E979" t="s">
        <v>1104</v>
      </c>
      <c r="F979" s="1" t="str">
        <f>HYPERLINK("http://ovidsp.ovid.com/ovidweb.cgi?T=JS&amp;NEWS=n&amp;CSC=Y&amp;PAGE=booktext&amp;D=books&amp;AN=01382890$&amp;XPATH=/PG(0)&amp;EPUB=Y","http://ovidsp.ovid.com/ovidweb.cgi?T=JS&amp;NEWS=n&amp;CSC=Y&amp;PAGE=booktext&amp;D=books&amp;AN=01382890$&amp;XPATH=/PG(0)&amp;EPUB=Y")</f>
        <v>http://ovidsp.ovid.com/ovidweb.cgi?T=JS&amp;NEWS=n&amp;CSC=Y&amp;PAGE=booktext&amp;D=books&amp;AN=01382890$&amp;XPATH=/PG(0)&amp;EPUB=Y</v>
      </c>
      <c r="G979" t="s">
        <v>2139</v>
      </c>
      <c r="H979" t="s">
        <v>2974</v>
      </c>
      <c r="I979">
        <v>1206726</v>
      </c>
      <c r="J979" t="s">
        <v>3263</v>
      </c>
      <c r="K979" t="s">
        <v>4654</v>
      </c>
    </row>
    <row r="980" spans="1:11" x14ac:dyDescent="0.3">
      <c r="A980" t="s">
        <v>4596</v>
      </c>
      <c r="B980" t="s">
        <v>738</v>
      </c>
      <c r="C980" t="s">
        <v>4549</v>
      </c>
      <c r="D980" t="s">
        <v>4111</v>
      </c>
      <c r="E980" t="s">
        <v>2223</v>
      </c>
      <c r="F980" s="1" t="str">
        <f>HYPERLINK("http://ovidsp.ovid.com/ovidweb.cgi?T=JS&amp;NEWS=n&amp;CSC=Y&amp;PAGE=booktext&amp;D=books&amp;AN=00140002$&amp;XPATH=/PG(0)&amp;EPUB=Y","http://ovidsp.ovid.com/ovidweb.cgi?T=JS&amp;NEWS=n&amp;CSC=Y&amp;PAGE=booktext&amp;D=books&amp;AN=00140002$&amp;XPATH=/PG(0)&amp;EPUB=Y")</f>
        <v>http://ovidsp.ovid.com/ovidweb.cgi?T=JS&amp;NEWS=n&amp;CSC=Y&amp;PAGE=booktext&amp;D=books&amp;AN=00140002$&amp;XPATH=/PG(0)&amp;EPUB=Y</v>
      </c>
      <c r="G980" t="s">
        <v>2139</v>
      </c>
      <c r="H980" t="s">
        <v>2974</v>
      </c>
      <c r="I980">
        <v>1206726</v>
      </c>
      <c r="J980" t="s">
        <v>3263</v>
      </c>
      <c r="K980" t="s">
        <v>4047</v>
      </c>
    </row>
    <row r="981" spans="1:11" x14ac:dyDescent="0.3">
      <c r="A981" t="s">
        <v>3768</v>
      </c>
      <c r="B981" t="s">
        <v>2104</v>
      </c>
      <c r="C981" t="s">
        <v>3829</v>
      </c>
      <c r="D981" t="s">
        <v>4111</v>
      </c>
      <c r="E981" t="s">
        <v>2223</v>
      </c>
      <c r="F981" s="1" t="str">
        <f>HYPERLINK("http://ovidsp.ovid.com/ovidweb.cgi?T=JS&amp;NEWS=n&amp;CSC=Y&amp;PAGE=booktext&amp;D=books&amp;AN=01382659$&amp;XPATH=/PG(0)&amp;EPUB=Y","http://ovidsp.ovid.com/ovidweb.cgi?T=JS&amp;NEWS=n&amp;CSC=Y&amp;PAGE=booktext&amp;D=books&amp;AN=01382659$&amp;XPATH=/PG(0)&amp;EPUB=Y")</f>
        <v>http://ovidsp.ovid.com/ovidweb.cgi?T=JS&amp;NEWS=n&amp;CSC=Y&amp;PAGE=booktext&amp;D=books&amp;AN=01382659$&amp;XPATH=/PG(0)&amp;EPUB=Y</v>
      </c>
      <c r="G981" t="s">
        <v>2139</v>
      </c>
      <c r="H981" t="s">
        <v>2974</v>
      </c>
      <c r="I981">
        <v>1206726</v>
      </c>
      <c r="J981" t="s">
        <v>3263</v>
      </c>
      <c r="K981" t="s">
        <v>1414</v>
      </c>
    </row>
    <row r="982" spans="1:11" x14ac:dyDescent="0.3">
      <c r="A982" t="s">
        <v>1700</v>
      </c>
      <c r="B982" t="s">
        <v>1451</v>
      </c>
      <c r="C982" t="s">
        <v>3803</v>
      </c>
      <c r="D982" t="s">
        <v>4111</v>
      </c>
      <c r="E982" t="s">
        <v>2223</v>
      </c>
      <c r="F982" s="1" t="str">
        <f>HYPERLINK("http://ovidsp.ovid.com/ovidweb.cgi?T=JS&amp;NEWS=n&amp;CSC=Y&amp;PAGE=booktext&amp;D=books&amp;AN=01437569$&amp;XPATH=/PG(0)&amp;EPUB=Y","http://ovidsp.ovid.com/ovidweb.cgi?T=JS&amp;NEWS=n&amp;CSC=Y&amp;PAGE=booktext&amp;D=books&amp;AN=01437569$&amp;XPATH=/PG(0)&amp;EPUB=Y")</f>
        <v>http://ovidsp.ovid.com/ovidweb.cgi?T=JS&amp;NEWS=n&amp;CSC=Y&amp;PAGE=booktext&amp;D=books&amp;AN=01437569$&amp;XPATH=/PG(0)&amp;EPUB=Y</v>
      </c>
      <c r="G982" t="s">
        <v>2139</v>
      </c>
      <c r="H982" t="s">
        <v>2974</v>
      </c>
      <c r="I982">
        <v>1206726</v>
      </c>
      <c r="J982" t="s">
        <v>3263</v>
      </c>
      <c r="K982" t="s">
        <v>2495</v>
      </c>
    </row>
    <row r="983" spans="1:11" x14ac:dyDescent="0.3">
      <c r="A983" t="s">
        <v>3116</v>
      </c>
      <c r="B983" t="s">
        <v>2094</v>
      </c>
      <c r="C983" t="s">
        <v>121</v>
      </c>
      <c r="D983" t="s">
        <v>4111</v>
      </c>
      <c r="E983" t="s">
        <v>2223</v>
      </c>
      <c r="F983" s="1" t="str">
        <f>HYPERLINK("http://ovidsp.ovid.com/ovidweb.cgi?T=JS&amp;NEWS=n&amp;CSC=Y&amp;PAGE=booktext&amp;D=books&amp;AN=01257033$&amp;XPATH=/PG(0)&amp;EPUB=Y","http://ovidsp.ovid.com/ovidweb.cgi?T=JS&amp;NEWS=n&amp;CSC=Y&amp;PAGE=booktext&amp;D=books&amp;AN=01257033$&amp;XPATH=/PG(0)&amp;EPUB=Y")</f>
        <v>http://ovidsp.ovid.com/ovidweb.cgi?T=JS&amp;NEWS=n&amp;CSC=Y&amp;PAGE=booktext&amp;D=books&amp;AN=01257033$&amp;XPATH=/PG(0)&amp;EPUB=Y</v>
      </c>
      <c r="G983" t="s">
        <v>2139</v>
      </c>
      <c r="H983" t="s">
        <v>2974</v>
      </c>
      <c r="I983">
        <v>1206726</v>
      </c>
      <c r="J983" t="s">
        <v>3263</v>
      </c>
      <c r="K983" t="s">
        <v>4425</v>
      </c>
    </row>
    <row r="984" spans="1:11" x14ac:dyDescent="0.3">
      <c r="A984" t="s">
        <v>2562</v>
      </c>
      <c r="B984" t="s">
        <v>911</v>
      </c>
      <c r="C984" t="s">
        <v>2926</v>
      </c>
      <c r="D984" t="s">
        <v>4111</v>
      </c>
      <c r="E984" t="s">
        <v>404</v>
      </c>
      <c r="F984" s="1" t="str">
        <f>HYPERLINK("http://ovidsp.ovid.com/ovidweb.cgi?T=JS&amp;NEWS=n&amp;CSC=Y&amp;PAGE=booktext&amp;D=books&amp;AN=01223037$&amp;XPATH=/PG(0)&amp;EPUB=Y","http://ovidsp.ovid.com/ovidweb.cgi?T=JS&amp;NEWS=n&amp;CSC=Y&amp;PAGE=booktext&amp;D=books&amp;AN=01223037$&amp;XPATH=/PG(0)&amp;EPUB=Y")</f>
        <v>http://ovidsp.ovid.com/ovidweb.cgi?T=JS&amp;NEWS=n&amp;CSC=Y&amp;PAGE=booktext&amp;D=books&amp;AN=01223037$&amp;XPATH=/PG(0)&amp;EPUB=Y</v>
      </c>
      <c r="G984" t="s">
        <v>2139</v>
      </c>
      <c r="H984" t="s">
        <v>2974</v>
      </c>
      <c r="I984">
        <v>1206726</v>
      </c>
      <c r="J984" t="s">
        <v>3263</v>
      </c>
      <c r="K984" t="s">
        <v>3603</v>
      </c>
    </row>
    <row r="985" spans="1:11" x14ac:dyDescent="0.3">
      <c r="A985" t="s">
        <v>2562</v>
      </c>
      <c r="B985" t="s">
        <v>1152</v>
      </c>
      <c r="C985" t="s">
        <v>2765</v>
      </c>
      <c r="D985" t="s">
        <v>4111</v>
      </c>
      <c r="E985" t="s">
        <v>1104</v>
      </c>
      <c r="F985" s="1" t="str">
        <f>HYPERLINK("http://ovidsp.ovid.com/ovidweb.cgi?T=JS&amp;NEWS=n&amp;CSC=Y&amp;PAGE=booktext&amp;D=books&amp;AN=01648005$&amp;XPATH=/PG(0)&amp;EPUB=Y","http://ovidsp.ovid.com/ovidweb.cgi?T=JS&amp;NEWS=n&amp;CSC=Y&amp;PAGE=booktext&amp;D=books&amp;AN=01648005$&amp;XPATH=/PG(0)&amp;EPUB=Y")</f>
        <v>http://ovidsp.ovid.com/ovidweb.cgi?T=JS&amp;NEWS=n&amp;CSC=Y&amp;PAGE=booktext&amp;D=books&amp;AN=01648005$&amp;XPATH=/PG(0)&amp;EPUB=Y</v>
      </c>
      <c r="G985" t="s">
        <v>2139</v>
      </c>
      <c r="H985" t="s">
        <v>2974</v>
      </c>
      <c r="I985">
        <v>1206726</v>
      </c>
      <c r="J985" t="s">
        <v>3263</v>
      </c>
      <c r="K985" t="s">
        <v>3447</v>
      </c>
    </row>
    <row r="986" spans="1:11" x14ac:dyDescent="0.3">
      <c r="A986" t="s">
        <v>50</v>
      </c>
      <c r="B986" t="s">
        <v>1445</v>
      </c>
      <c r="C986" t="s">
        <v>3142</v>
      </c>
      <c r="D986" t="s">
        <v>4111</v>
      </c>
      <c r="E986" t="s">
        <v>404</v>
      </c>
      <c r="F986" s="1" t="str">
        <f>HYPERLINK("http://ovidsp.ovid.com/ovidweb.cgi?T=JS&amp;NEWS=n&amp;CSC=Y&amp;PAGE=booktext&amp;D=books&amp;AN=01257034$&amp;XPATH=/PG(0)&amp;EPUB=Y","http://ovidsp.ovid.com/ovidweb.cgi?T=JS&amp;NEWS=n&amp;CSC=Y&amp;PAGE=booktext&amp;D=books&amp;AN=01257034$&amp;XPATH=/PG(0)&amp;EPUB=Y")</f>
        <v>http://ovidsp.ovid.com/ovidweb.cgi?T=JS&amp;NEWS=n&amp;CSC=Y&amp;PAGE=booktext&amp;D=books&amp;AN=01257034$&amp;XPATH=/PG(0)&amp;EPUB=Y</v>
      </c>
      <c r="G986" t="s">
        <v>2139</v>
      </c>
      <c r="H986" t="s">
        <v>2974</v>
      </c>
      <c r="I986">
        <v>1206726</v>
      </c>
      <c r="J986" t="s">
        <v>3263</v>
      </c>
      <c r="K986" t="s">
        <v>3448</v>
      </c>
    </row>
    <row r="987" spans="1:11" x14ac:dyDescent="0.3">
      <c r="A987" t="s">
        <v>391</v>
      </c>
      <c r="B987" t="s">
        <v>1988</v>
      </c>
      <c r="C987" t="s">
        <v>4402</v>
      </c>
      <c r="D987" t="s">
        <v>4111</v>
      </c>
      <c r="E987" t="s">
        <v>2223</v>
      </c>
      <c r="F987" s="1" t="str">
        <f>HYPERLINK("http://ovidsp.ovid.com/ovidweb.cgi?T=JS&amp;NEWS=n&amp;CSC=Y&amp;PAGE=booktext&amp;D=books&amp;AN=01382662$&amp;XPATH=/PG(0)&amp;EPUB=Y","http://ovidsp.ovid.com/ovidweb.cgi?T=JS&amp;NEWS=n&amp;CSC=Y&amp;PAGE=booktext&amp;D=books&amp;AN=01382662$&amp;XPATH=/PG(0)&amp;EPUB=Y")</f>
        <v>http://ovidsp.ovid.com/ovidweb.cgi?T=JS&amp;NEWS=n&amp;CSC=Y&amp;PAGE=booktext&amp;D=books&amp;AN=01382662$&amp;XPATH=/PG(0)&amp;EPUB=Y</v>
      </c>
      <c r="G987" t="s">
        <v>2139</v>
      </c>
      <c r="H987" t="s">
        <v>2974</v>
      </c>
      <c r="I987">
        <v>1206726</v>
      </c>
      <c r="J987" t="s">
        <v>3263</v>
      </c>
      <c r="K987" t="s">
        <v>1149</v>
      </c>
    </row>
    <row r="988" spans="1:11" x14ac:dyDescent="0.3">
      <c r="A988" t="s">
        <v>4062</v>
      </c>
      <c r="B988" t="s">
        <v>3286</v>
      </c>
      <c r="C988" t="s">
        <v>3074</v>
      </c>
      <c r="D988" t="s">
        <v>4111</v>
      </c>
      <c r="E988" t="s">
        <v>2223</v>
      </c>
      <c r="F988" s="1" t="str">
        <f>HYPERLINK("http://ovidsp.ovid.com/ovidweb.cgi?T=JS&amp;NEWS=n&amp;CSC=Y&amp;PAGE=booktext&amp;D=books&amp;AN=01382888$&amp;XPATH=/PG(0)&amp;EPUB=Y","http://ovidsp.ovid.com/ovidweb.cgi?T=JS&amp;NEWS=n&amp;CSC=Y&amp;PAGE=booktext&amp;D=books&amp;AN=01382888$&amp;XPATH=/PG(0)&amp;EPUB=Y")</f>
        <v>http://ovidsp.ovid.com/ovidweb.cgi?T=JS&amp;NEWS=n&amp;CSC=Y&amp;PAGE=booktext&amp;D=books&amp;AN=01382888$&amp;XPATH=/PG(0)&amp;EPUB=Y</v>
      </c>
      <c r="G988" t="s">
        <v>2139</v>
      </c>
      <c r="H988" t="s">
        <v>2974</v>
      </c>
      <c r="I988">
        <v>1206726</v>
      </c>
      <c r="J988" t="s">
        <v>3263</v>
      </c>
      <c r="K988" t="s">
        <v>167</v>
      </c>
    </row>
    <row r="989" spans="1:11" x14ac:dyDescent="0.3">
      <c r="A989" t="s">
        <v>618</v>
      </c>
      <c r="B989" t="s">
        <v>1829</v>
      </c>
      <c r="C989" t="s">
        <v>1933</v>
      </c>
      <c r="D989" t="s">
        <v>4111</v>
      </c>
      <c r="E989" t="s">
        <v>3387</v>
      </c>
      <c r="F989" s="1" t="str">
        <f>HYPERLINK("http://ovidsp.ovid.com/ovidweb.cgi?T=JS&amp;NEWS=n&amp;CSC=Y&amp;PAGE=booktext&amp;D=books&amp;AN=01787337$&amp;XPATH=/PG(0)&amp;EPUB=Y","http://ovidsp.ovid.com/ovidweb.cgi?T=JS&amp;NEWS=n&amp;CSC=Y&amp;PAGE=booktext&amp;D=books&amp;AN=01787337$&amp;XPATH=/PG(0)&amp;EPUB=Y")</f>
        <v>http://ovidsp.ovid.com/ovidweb.cgi?T=JS&amp;NEWS=n&amp;CSC=Y&amp;PAGE=booktext&amp;D=books&amp;AN=01787337$&amp;XPATH=/PG(0)&amp;EPUB=Y</v>
      </c>
      <c r="G989" t="s">
        <v>2139</v>
      </c>
      <c r="H989" t="s">
        <v>2974</v>
      </c>
      <c r="I989">
        <v>1206726</v>
      </c>
      <c r="J989" t="s">
        <v>3263</v>
      </c>
      <c r="K989" t="s">
        <v>2684</v>
      </c>
    </row>
    <row r="990" spans="1:11" x14ac:dyDescent="0.3">
      <c r="A990" t="s">
        <v>618</v>
      </c>
      <c r="B990" t="s">
        <v>586</v>
      </c>
      <c r="C990" t="s">
        <v>274</v>
      </c>
      <c r="D990" t="s">
        <v>4111</v>
      </c>
      <c r="E990" t="s">
        <v>2876</v>
      </c>
      <c r="F990" s="1" t="str">
        <f>HYPERLINK("http://ovidsp.ovid.com/ovidweb.cgi?T=JS&amp;NEWS=n&amp;CSC=Y&amp;PAGE=booktext&amp;D=books&amp;AN=01436893$&amp;XPATH=/PG(0)&amp;EPUB=Y","http://ovidsp.ovid.com/ovidweb.cgi?T=JS&amp;NEWS=n&amp;CSC=Y&amp;PAGE=booktext&amp;D=books&amp;AN=01436893$&amp;XPATH=/PG(0)&amp;EPUB=Y")</f>
        <v>http://ovidsp.ovid.com/ovidweb.cgi?T=JS&amp;NEWS=n&amp;CSC=Y&amp;PAGE=booktext&amp;D=books&amp;AN=01436893$&amp;XPATH=/PG(0)&amp;EPUB=Y</v>
      </c>
      <c r="G990" t="s">
        <v>2139</v>
      </c>
      <c r="H990" t="s">
        <v>2974</v>
      </c>
      <c r="I990">
        <v>1206726</v>
      </c>
      <c r="J990" t="s">
        <v>3263</v>
      </c>
      <c r="K990" t="s">
        <v>2686</v>
      </c>
    </row>
    <row r="991" spans="1:11" x14ac:dyDescent="0.3">
      <c r="A991" t="s">
        <v>3016</v>
      </c>
      <c r="B991" t="s">
        <v>3466</v>
      </c>
      <c r="C991" t="s">
        <v>1456</v>
      </c>
      <c r="D991" t="s">
        <v>4111</v>
      </c>
      <c r="E991" t="s">
        <v>1595</v>
      </c>
      <c r="F991" s="1" t="str">
        <f>HYPERLINK("http://ovidsp.ovid.com/ovidweb.cgi?T=JS&amp;NEWS=n&amp;CSC=Y&amp;PAGE=booktext&amp;D=books&amp;AN=01382663$&amp;XPATH=/PG(0)&amp;EPUB=Y","http://ovidsp.ovid.com/ovidweb.cgi?T=JS&amp;NEWS=n&amp;CSC=Y&amp;PAGE=booktext&amp;D=books&amp;AN=01382663$&amp;XPATH=/PG(0)&amp;EPUB=Y")</f>
        <v>http://ovidsp.ovid.com/ovidweb.cgi?T=JS&amp;NEWS=n&amp;CSC=Y&amp;PAGE=booktext&amp;D=books&amp;AN=01382663$&amp;XPATH=/PG(0)&amp;EPUB=Y</v>
      </c>
      <c r="G991" t="s">
        <v>2139</v>
      </c>
      <c r="H991" t="s">
        <v>2974</v>
      </c>
      <c r="I991">
        <v>1206726</v>
      </c>
      <c r="J991" t="s">
        <v>3263</v>
      </c>
      <c r="K991" t="s">
        <v>1826</v>
      </c>
    </row>
    <row r="992" spans="1:11" x14ac:dyDescent="0.3">
      <c r="A992" t="s">
        <v>2476</v>
      </c>
      <c r="B992" t="s">
        <v>1418</v>
      </c>
      <c r="C992" t="s">
        <v>3951</v>
      </c>
      <c r="D992" t="s">
        <v>4111</v>
      </c>
      <c r="E992" t="s">
        <v>404</v>
      </c>
      <c r="F992" s="1" t="str">
        <f>HYPERLINK("http://ovidsp.ovid.com/ovidweb.cgi?T=JS&amp;NEWS=n&amp;CSC=Y&amp;PAGE=booktext&amp;D=books&amp;AN=01382661$&amp;XPATH=/PG(0)&amp;EPUB=Y","http://ovidsp.ovid.com/ovidweb.cgi?T=JS&amp;NEWS=n&amp;CSC=Y&amp;PAGE=booktext&amp;D=books&amp;AN=01382661$&amp;XPATH=/PG(0)&amp;EPUB=Y")</f>
        <v>http://ovidsp.ovid.com/ovidweb.cgi?T=JS&amp;NEWS=n&amp;CSC=Y&amp;PAGE=booktext&amp;D=books&amp;AN=01382661$&amp;XPATH=/PG(0)&amp;EPUB=Y</v>
      </c>
      <c r="G992" t="s">
        <v>2139</v>
      </c>
      <c r="H992" t="s">
        <v>2974</v>
      </c>
      <c r="I992">
        <v>1206726</v>
      </c>
      <c r="J992" t="s">
        <v>3263</v>
      </c>
      <c r="K992" t="s">
        <v>1010</v>
      </c>
    </row>
    <row r="993" spans="1:11" x14ac:dyDescent="0.3">
      <c r="A993" t="s">
        <v>3659</v>
      </c>
      <c r="B993" t="s">
        <v>3936</v>
      </c>
      <c r="C993" t="s">
        <v>678</v>
      </c>
      <c r="D993" t="s">
        <v>4111</v>
      </c>
      <c r="E993" t="s">
        <v>2223</v>
      </c>
      <c r="F993" s="1" t="str">
        <f>HYPERLINK("http://ovidsp.ovid.com/ovidweb.cgi?T=JS&amp;NEWS=n&amp;CSC=Y&amp;PAGE=booktext&amp;D=books&amp;AN=01382412$&amp;XPATH=/PG(0)&amp;EPUB=Y","http://ovidsp.ovid.com/ovidweb.cgi?T=JS&amp;NEWS=n&amp;CSC=Y&amp;PAGE=booktext&amp;D=books&amp;AN=01382412$&amp;XPATH=/PG(0)&amp;EPUB=Y")</f>
        <v>http://ovidsp.ovid.com/ovidweb.cgi?T=JS&amp;NEWS=n&amp;CSC=Y&amp;PAGE=booktext&amp;D=books&amp;AN=01382412$&amp;XPATH=/PG(0)&amp;EPUB=Y</v>
      </c>
      <c r="G993" t="s">
        <v>2139</v>
      </c>
      <c r="H993" t="s">
        <v>2974</v>
      </c>
      <c r="I993">
        <v>1206726</v>
      </c>
      <c r="J993" t="s">
        <v>3263</v>
      </c>
      <c r="K993" t="s">
        <v>2037</v>
      </c>
    </row>
    <row r="994" spans="1:11" x14ac:dyDescent="0.3">
      <c r="A994" t="s">
        <v>3243</v>
      </c>
      <c r="B994" t="s">
        <v>3058</v>
      </c>
      <c r="C994" t="s">
        <v>1077</v>
      </c>
      <c r="D994" t="s">
        <v>4111</v>
      </c>
      <c r="E994" t="s">
        <v>2223</v>
      </c>
      <c r="F994" s="1" t="str">
        <f>HYPERLINK("http://ovidsp.ovid.com/ovidweb.cgi?T=JS&amp;NEWS=n&amp;CSC=Y&amp;PAGE=booktext&amp;D=books&amp;AN=01382664$&amp;XPATH=/PG(0)&amp;EPUB=Y","http://ovidsp.ovid.com/ovidweb.cgi?T=JS&amp;NEWS=n&amp;CSC=Y&amp;PAGE=booktext&amp;D=books&amp;AN=01382664$&amp;XPATH=/PG(0)&amp;EPUB=Y")</f>
        <v>http://ovidsp.ovid.com/ovidweb.cgi?T=JS&amp;NEWS=n&amp;CSC=Y&amp;PAGE=booktext&amp;D=books&amp;AN=01382664$&amp;XPATH=/PG(0)&amp;EPUB=Y</v>
      </c>
      <c r="G994" t="s">
        <v>2139</v>
      </c>
      <c r="H994" t="s">
        <v>2974</v>
      </c>
      <c r="I994">
        <v>1206726</v>
      </c>
      <c r="J994" t="s">
        <v>3263</v>
      </c>
      <c r="K994" t="s">
        <v>4045</v>
      </c>
    </row>
    <row r="995" spans="1:11" x14ac:dyDescent="0.3">
      <c r="A995" t="s">
        <v>4267</v>
      </c>
      <c r="B995" t="s">
        <v>3132</v>
      </c>
      <c r="C995" t="s">
        <v>1161</v>
      </c>
      <c r="D995" t="s">
        <v>4111</v>
      </c>
      <c r="E995" t="s">
        <v>2223</v>
      </c>
      <c r="F995" s="1" t="str">
        <f>HYPERLINK("http://ovidsp.ovid.com/ovidweb.cgi?T=JS&amp;NEWS=n&amp;CSC=Y&amp;PAGE=booktext&amp;D=books&amp;AN=01382665$&amp;XPATH=/PG(0)&amp;EPUB=Y","http://ovidsp.ovid.com/ovidweb.cgi?T=JS&amp;NEWS=n&amp;CSC=Y&amp;PAGE=booktext&amp;D=books&amp;AN=01382665$&amp;XPATH=/PG(0)&amp;EPUB=Y")</f>
        <v>http://ovidsp.ovid.com/ovidweb.cgi?T=JS&amp;NEWS=n&amp;CSC=Y&amp;PAGE=booktext&amp;D=books&amp;AN=01382665$&amp;XPATH=/PG(0)&amp;EPUB=Y</v>
      </c>
      <c r="G995" t="s">
        <v>2139</v>
      </c>
      <c r="H995" t="s">
        <v>2974</v>
      </c>
      <c r="I995">
        <v>1206726</v>
      </c>
      <c r="J995" t="s">
        <v>3263</v>
      </c>
      <c r="K995" t="s">
        <v>1582</v>
      </c>
    </row>
    <row r="996" spans="1:11" x14ac:dyDescent="0.3">
      <c r="A996" t="s">
        <v>2308</v>
      </c>
      <c r="B996" t="s">
        <v>542</v>
      </c>
      <c r="C996" t="s">
        <v>2420</v>
      </c>
      <c r="D996" t="s">
        <v>4111</v>
      </c>
      <c r="E996" t="s">
        <v>2223</v>
      </c>
      <c r="F996" s="1" t="str">
        <f>HYPERLINK("http://ovidsp.ovid.com/ovidweb.cgi?T=JS&amp;NEWS=n&amp;CSC=Y&amp;PAGE=booktext&amp;D=books&amp;AN=01257035$&amp;XPATH=/PG(0)&amp;EPUB=Y","http://ovidsp.ovid.com/ovidweb.cgi?T=JS&amp;NEWS=n&amp;CSC=Y&amp;PAGE=booktext&amp;D=books&amp;AN=01257035$&amp;XPATH=/PG(0)&amp;EPUB=Y")</f>
        <v>http://ovidsp.ovid.com/ovidweb.cgi?T=JS&amp;NEWS=n&amp;CSC=Y&amp;PAGE=booktext&amp;D=books&amp;AN=01257035$&amp;XPATH=/PG(0)&amp;EPUB=Y</v>
      </c>
      <c r="G996" t="s">
        <v>2139</v>
      </c>
      <c r="H996" t="s">
        <v>2974</v>
      </c>
      <c r="I996">
        <v>1206726</v>
      </c>
      <c r="J996" t="s">
        <v>3263</v>
      </c>
      <c r="K996" t="s">
        <v>969</v>
      </c>
    </row>
    <row r="997" spans="1:11" x14ac:dyDescent="0.3">
      <c r="A997" t="s">
        <v>3772</v>
      </c>
      <c r="B997" t="s">
        <v>4602</v>
      </c>
      <c r="C997" t="s">
        <v>2194</v>
      </c>
      <c r="D997" t="s">
        <v>4111</v>
      </c>
      <c r="E997" t="s">
        <v>404</v>
      </c>
      <c r="F997" s="1" t="str">
        <f>HYPERLINK("http://ovidsp.ovid.com/ovidweb.cgi?T=JS&amp;NEWS=n&amp;CSC=Y&amp;PAGE=booktext&amp;D=books&amp;AN=01337652$&amp;XPATH=/PG(0)&amp;EPUB=Y","http://ovidsp.ovid.com/ovidweb.cgi?T=JS&amp;NEWS=n&amp;CSC=Y&amp;PAGE=booktext&amp;D=books&amp;AN=01337652$&amp;XPATH=/PG(0)&amp;EPUB=Y")</f>
        <v>http://ovidsp.ovid.com/ovidweb.cgi?T=JS&amp;NEWS=n&amp;CSC=Y&amp;PAGE=booktext&amp;D=books&amp;AN=01337652$&amp;XPATH=/PG(0)&amp;EPUB=Y</v>
      </c>
      <c r="G997" t="s">
        <v>2139</v>
      </c>
      <c r="H997" t="s">
        <v>2974</v>
      </c>
      <c r="I997">
        <v>1206726</v>
      </c>
      <c r="J997" t="s">
        <v>3263</v>
      </c>
      <c r="K997" t="s">
        <v>458</v>
      </c>
    </row>
    <row r="998" spans="1:11" x14ac:dyDescent="0.3">
      <c r="A998" t="s">
        <v>3868</v>
      </c>
      <c r="B998" t="s">
        <v>3390</v>
      </c>
      <c r="C998" t="s">
        <v>4188</v>
      </c>
      <c r="D998" t="s">
        <v>4111</v>
      </c>
      <c r="E998" t="s">
        <v>2223</v>
      </c>
      <c r="F998" s="1" t="str">
        <f>HYPERLINK("http://ovidsp.ovid.com/ovidweb.cgi?T=JS&amp;NEWS=n&amp;CSC=Y&amp;PAGE=booktext&amp;D=books&amp;AN=01382667$&amp;XPATH=/PG(0)&amp;EPUB=Y","http://ovidsp.ovid.com/ovidweb.cgi?T=JS&amp;NEWS=n&amp;CSC=Y&amp;PAGE=booktext&amp;D=books&amp;AN=01382667$&amp;XPATH=/PG(0)&amp;EPUB=Y")</f>
        <v>http://ovidsp.ovid.com/ovidweb.cgi?T=JS&amp;NEWS=n&amp;CSC=Y&amp;PAGE=booktext&amp;D=books&amp;AN=01382667$&amp;XPATH=/PG(0)&amp;EPUB=Y</v>
      </c>
      <c r="G998" t="s">
        <v>2139</v>
      </c>
      <c r="H998" t="s">
        <v>2974</v>
      </c>
      <c r="I998">
        <v>1206726</v>
      </c>
      <c r="J998" t="s">
        <v>3263</v>
      </c>
      <c r="K998" t="s">
        <v>2015</v>
      </c>
    </row>
    <row r="999" spans="1:11" x14ac:dyDescent="0.3">
      <c r="A999" t="s">
        <v>4212</v>
      </c>
      <c r="B999" t="s">
        <v>3756</v>
      </c>
      <c r="C999" t="s">
        <v>464</v>
      </c>
      <c r="D999" t="s">
        <v>4111</v>
      </c>
      <c r="E999" t="s">
        <v>404</v>
      </c>
      <c r="F999" s="1" t="str">
        <f>HYPERLINK("http://ovidsp.ovid.com/ovidweb.cgi?T=JS&amp;NEWS=n&amp;CSC=Y&amp;PAGE=booktext&amp;D=books&amp;AN=01382668$&amp;XPATH=/PG(0)&amp;EPUB=Y","http://ovidsp.ovid.com/ovidweb.cgi?T=JS&amp;NEWS=n&amp;CSC=Y&amp;PAGE=booktext&amp;D=books&amp;AN=01382668$&amp;XPATH=/PG(0)&amp;EPUB=Y")</f>
        <v>http://ovidsp.ovid.com/ovidweb.cgi?T=JS&amp;NEWS=n&amp;CSC=Y&amp;PAGE=booktext&amp;D=books&amp;AN=01382668$&amp;XPATH=/PG(0)&amp;EPUB=Y</v>
      </c>
      <c r="G999" t="s">
        <v>2139</v>
      </c>
      <c r="H999" t="s">
        <v>2974</v>
      </c>
      <c r="I999">
        <v>1206726</v>
      </c>
      <c r="J999" t="s">
        <v>3263</v>
      </c>
      <c r="K999" t="s">
        <v>3973</v>
      </c>
    </row>
    <row r="1000" spans="1:11" x14ac:dyDescent="0.3">
      <c r="A1000" t="s">
        <v>3347</v>
      </c>
      <c r="B1000" t="s">
        <v>3564</v>
      </c>
      <c r="C1000" t="s">
        <v>4294</v>
      </c>
      <c r="D1000" t="s">
        <v>4111</v>
      </c>
      <c r="E1000" t="s">
        <v>3051</v>
      </c>
      <c r="F1000" s="1" t="str">
        <f>HYPERLINK("http://ovidsp.ovid.com/ovidweb.cgi?T=JS&amp;NEWS=n&amp;CSC=Y&amp;PAGE=booktext&amp;D=books&amp;AN=01376505$&amp;XPATH=/PG(0)&amp;EPUB=Y","http://ovidsp.ovid.com/ovidweb.cgi?T=JS&amp;NEWS=n&amp;CSC=Y&amp;PAGE=booktext&amp;D=books&amp;AN=01376505$&amp;XPATH=/PG(0)&amp;EPUB=Y")</f>
        <v>http://ovidsp.ovid.com/ovidweb.cgi?T=JS&amp;NEWS=n&amp;CSC=Y&amp;PAGE=booktext&amp;D=books&amp;AN=01376505$&amp;XPATH=/PG(0)&amp;EPUB=Y</v>
      </c>
      <c r="G1000" t="s">
        <v>2139</v>
      </c>
      <c r="H1000" t="s">
        <v>2974</v>
      </c>
      <c r="I1000">
        <v>1206726</v>
      </c>
      <c r="J1000" t="s">
        <v>3263</v>
      </c>
      <c r="K1000" t="s">
        <v>2863</v>
      </c>
    </row>
    <row r="1001" spans="1:11" x14ac:dyDescent="0.3">
      <c r="A1001" t="s">
        <v>2841</v>
      </c>
      <c r="B1001" t="s">
        <v>4346</v>
      </c>
      <c r="C1001" t="s">
        <v>4242</v>
      </c>
      <c r="D1001" t="s">
        <v>4111</v>
      </c>
      <c r="E1001" t="s">
        <v>3051</v>
      </c>
      <c r="F1001" s="1" t="str">
        <f>HYPERLINK("http://ovidsp.ovid.com/ovidweb.cgi?T=JS&amp;NEWS=n&amp;CSC=Y&amp;PAGE=booktext&amp;D=books&amp;AN=01438535$&amp;XPATH=/PG(0)&amp;EPUB=Y","http://ovidsp.ovid.com/ovidweb.cgi?T=JS&amp;NEWS=n&amp;CSC=Y&amp;PAGE=booktext&amp;D=books&amp;AN=01438535$&amp;XPATH=/PG(0)&amp;EPUB=Y")</f>
        <v>http://ovidsp.ovid.com/ovidweb.cgi?T=JS&amp;NEWS=n&amp;CSC=Y&amp;PAGE=booktext&amp;D=books&amp;AN=01438535$&amp;XPATH=/PG(0)&amp;EPUB=Y</v>
      </c>
      <c r="G1001" t="s">
        <v>2139</v>
      </c>
      <c r="H1001" t="s">
        <v>2974</v>
      </c>
      <c r="I1001">
        <v>1206726</v>
      </c>
      <c r="J1001" t="s">
        <v>3263</v>
      </c>
      <c r="K1001" t="s">
        <v>344</v>
      </c>
    </row>
    <row r="1002" spans="1:11" x14ac:dyDescent="0.3">
      <c r="A1002" t="s">
        <v>1284</v>
      </c>
      <c r="B1002" t="s">
        <v>3864</v>
      </c>
      <c r="C1002" t="s">
        <v>1425</v>
      </c>
      <c r="D1002" t="s">
        <v>4111</v>
      </c>
      <c r="E1002" t="s">
        <v>1104</v>
      </c>
      <c r="F1002" s="1" t="str">
        <f>HYPERLINK("http://ovidsp.ovid.com/ovidweb.cgi?T=JS&amp;NEWS=n&amp;CSC=Y&amp;PAGE=booktext&amp;D=books&amp;AN=01438881$&amp;XPATH=/PG(0)&amp;EPUB=Y","http://ovidsp.ovid.com/ovidweb.cgi?T=JS&amp;NEWS=n&amp;CSC=Y&amp;PAGE=booktext&amp;D=books&amp;AN=01438881$&amp;XPATH=/PG(0)&amp;EPUB=Y")</f>
        <v>http://ovidsp.ovid.com/ovidweb.cgi?T=JS&amp;NEWS=n&amp;CSC=Y&amp;PAGE=booktext&amp;D=books&amp;AN=01438881$&amp;XPATH=/PG(0)&amp;EPUB=Y</v>
      </c>
      <c r="G1002" t="s">
        <v>2139</v>
      </c>
      <c r="H1002" t="s">
        <v>2974</v>
      </c>
      <c r="I1002">
        <v>1206726</v>
      </c>
      <c r="J1002" t="s">
        <v>3263</v>
      </c>
      <c r="K1002" t="s">
        <v>816</v>
      </c>
    </row>
    <row r="1003" spans="1:11" x14ac:dyDescent="0.3">
      <c r="A1003" t="s">
        <v>3924</v>
      </c>
      <c r="B1003" t="s">
        <v>4035</v>
      </c>
      <c r="C1003" t="s">
        <v>3011</v>
      </c>
      <c r="D1003" t="s">
        <v>4111</v>
      </c>
      <c r="E1003" t="s">
        <v>2223</v>
      </c>
      <c r="F1003" s="1" t="str">
        <f>HYPERLINK("http://ovidsp.ovid.com/ovidweb.cgi?T=JS&amp;NEWS=n&amp;CSC=Y&amp;PAGE=booktext&amp;D=books&amp;AN=01437570$&amp;XPATH=/PG(0)&amp;EPUB=Y","http://ovidsp.ovid.com/ovidweb.cgi?T=JS&amp;NEWS=n&amp;CSC=Y&amp;PAGE=booktext&amp;D=books&amp;AN=01437570$&amp;XPATH=/PG(0)&amp;EPUB=Y")</f>
        <v>http://ovidsp.ovid.com/ovidweb.cgi?T=JS&amp;NEWS=n&amp;CSC=Y&amp;PAGE=booktext&amp;D=books&amp;AN=01437570$&amp;XPATH=/PG(0)&amp;EPUB=Y</v>
      </c>
      <c r="G1003" t="s">
        <v>2139</v>
      </c>
      <c r="H1003" t="s">
        <v>2974</v>
      </c>
      <c r="I1003">
        <v>1206726</v>
      </c>
      <c r="J1003" t="s">
        <v>3263</v>
      </c>
      <c r="K1003" t="s">
        <v>489</v>
      </c>
    </row>
    <row r="1004" spans="1:11" x14ac:dyDescent="0.3">
      <c r="A1004" t="s">
        <v>3162</v>
      </c>
      <c r="B1004" t="s">
        <v>3083</v>
      </c>
      <c r="C1004" t="s">
        <v>3442</v>
      </c>
      <c r="D1004" t="s">
        <v>4111</v>
      </c>
      <c r="E1004" t="s">
        <v>1595</v>
      </c>
      <c r="F1004" s="1" t="str">
        <f>HYPERLINK("http://ovidsp.ovid.com/ovidweb.cgi?T=JS&amp;NEWS=n&amp;CSC=Y&amp;PAGE=booktext&amp;D=books&amp;AN=01438882$&amp;XPATH=/PG(0)&amp;EPUB=Y","http://ovidsp.ovid.com/ovidweb.cgi?T=JS&amp;NEWS=n&amp;CSC=Y&amp;PAGE=booktext&amp;D=books&amp;AN=01438882$&amp;XPATH=/PG(0)&amp;EPUB=Y")</f>
        <v>http://ovidsp.ovid.com/ovidweb.cgi?T=JS&amp;NEWS=n&amp;CSC=Y&amp;PAGE=booktext&amp;D=books&amp;AN=01438882$&amp;XPATH=/PG(0)&amp;EPUB=Y</v>
      </c>
      <c r="G1004" t="s">
        <v>2139</v>
      </c>
      <c r="H1004" t="s">
        <v>2974</v>
      </c>
      <c r="I1004">
        <v>1206726</v>
      </c>
      <c r="J1004" t="s">
        <v>3263</v>
      </c>
      <c r="K1004" t="s">
        <v>4254</v>
      </c>
    </row>
    <row r="1005" spans="1:11" x14ac:dyDescent="0.3">
      <c r="A1005" t="s">
        <v>3162</v>
      </c>
      <c r="B1005" t="s">
        <v>4518</v>
      </c>
      <c r="C1005" t="s">
        <v>938</v>
      </c>
      <c r="D1005" t="s">
        <v>4111</v>
      </c>
      <c r="E1005" t="s">
        <v>3387</v>
      </c>
      <c r="F1005" s="1" t="str">
        <f>HYPERLINK("http://ovidsp.ovid.com/ovidweb.cgi?T=JS&amp;NEWS=n&amp;CSC=Y&amp;PAGE=booktext&amp;D=books&amp;AN=01382670$&amp;XPATH=/PG(0)&amp;EPUB=Y","http://ovidsp.ovid.com/ovidweb.cgi?T=JS&amp;NEWS=n&amp;CSC=Y&amp;PAGE=booktext&amp;D=books&amp;AN=01382670$&amp;XPATH=/PG(0)&amp;EPUB=Y")</f>
        <v>http://ovidsp.ovid.com/ovidweb.cgi?T=JS&amp;NEWS=n&amp;CSC=Y&amp;PAGE=booktext&amp;D=books&amp;AN=01382670$&amp;XPATH=/PG(0)&amp;EPUB=Y</v>
      </c>
      <c r="G1005" t="s">
        <v>2139</v>
      </c>
      <c r="H1005" t="s">
        <v>2974</v>
      </c>
      <c r="I1005">
        <v>1206726</v>
      </c>
      <c r="J1005" t="s">
        <v>3263</v>
      </c>
      <c r="K1005" t="s">
        <v>3187</v>
      </c>
    </row>
    <row r="1006" spans="1:11" x14ac:dyDescent="0.3">
      <c r="A1006" t="s">
        <v>2357</v>
      </c>
      <c r="B1006" t="s">
        <v>4251</v>
      </c>
      <c r="C1006" t="s">
        <v>1178</v>
      </c>
      <c r="D1006" t="s">
        <v>4111</v>
      </c>
      <c r="E1006" t="s">
        <v>404</v>
      </c>
      <c r="F1006" s="1" t="str">
        <f>HYPERLINK("http://ovidsp.ovid.com/ovidweb.cgi?T=JS&amp;NEWS=n&amp;CSC=Y&amp;PAGE=booktext&amp;D=books&amp;AN=01382671$&amp;XPATH=/PG(0)&amp;EPUB=Y","http://ovidsp.ovid.com/ovidweb.cgi?T=JS&amp;NEWS=n&amp;CSC=Y&amp;PAGE=booktext&amp;D=books&amp;AN=01382671$&amp;XPATH=/PG(0)&amp;EPUB=Y")</f>
        <v>http://ovidsp.ovid.com/ovidweb.cgi?T=JS&amp;NEWS=n&amp;CSC=Y&amp;PAGE=booktext&amp;D=books&amp;AN=01382671$&amp;XPATH=/PG(0)&amp;EPUB=Y</v>
      </c>
      <c r="G1006" t="s">
        <v>2139</v>
      </c>
      <c r="H1006" t="s">
        <v>2974</v>
      </c>
      <c r="I1006">
        <v>1206726</v>
      </c>
      <c r="J1006" t="s">
        <v>3263</v>
      </c>
      <c r="K1006" t="s">
        <v>4577</v>
      </c>
    </row>
    <row r="1007" spans="1:11" x14ac:dyDescent="0.3">
      <c r="A1007" t="s">
        <v>3426</v>
      </c>
      <c r="B1007" t="s">
        <v>4182</v>
      </c>
      <c r="C1007" t="s">
        <v>2538</v>
      </c>
      <c r="D1007" t="s">
        <v>4111</v>
      </c>
      <c r="E1007" t="s">
        <v>1595</v>
      </c>
      <c r="F1007" s="1" t="str">
        <f>HYPERLINK("http://ovidsp.ovid.com/ovidweb.cgi?T=JS&amp;NEWS=n&amp;CSC=Y&amp;PAGE=booktext&amp;D=books&amp;AN=01438883$&amp;XPATH=/PG(0)&amp;EPUB=Y","http://ovidsp.ovid.com/ovidweb.cgi?T=JS&amp;NEWS=n&amp;CSC=Y&amp;PAGE=booktext&amp;D=books&amp;AN=01438883$&amp;XPATH=/PG(0)&amp;EPUB=Y")</f>
        <v>http://ovidsp.ovid.com/ovidweb.cgi?T=JS&amp;NEWS=n&amp;CSC=Y&amp;PAGE=booktext&amp;D=books&amp;AN=01438883$&amp;XPATH=/PG(0)&amp;EPUB=Y</v>
      </c>
      <c r="G1007" t="s">
        <v>2139</v>
      </c>
      <c r="H1007" t="s">
        <v>2974</v>
      </c>
      <c r="I1007">
        <v>1206726</v>
      </c>
      <c r="J1007" t="s">
        <v>3263</v>
      </c>
      <c r="K1007" t="s">
        <v>3406</v>
      </c>
    </row>
    <row r="1008" spans="1:11" x14ac:dyDescent="0.3">
      <c r="A1008" t="s">
        <v>2338</v>
      </c>
      <c r="B1008" t="s">
        <v>3022</v>
      </c>
      <c r="C1008" t="s">
        <v>2868</v>
      </c>
      <c r="D1008" t="s">
        <v>4111</v>
      </c>
      <c r="E1008" t="s">
        <v>3051</v>
      </c>
      <c r="F1008" s="1" t="str">
        <f>HYPERLINK("http://ovidsp.ovid.com/ovidweb.cgi?T=JS&amp;NEWS=n&amp;CSC=Y&amp;PAGE=booktext&amp;D=books&amp;AN=01438884$&amp;XPATH=/PG(0)&amp;EPUB=Y","http://ovidsp.ovid.com/ovidweb.cgi?T=JS&amp;NEWS=n&amp;CSC=Y&amp;PAGE=booktext&amp;D=books&amp;AN=01438884$&amp;XPATH=/PG(0)&amp;EPUB=Y")</f>
        <v>http://ovidsp.ovid.com/ovidweb.cgi?T=JS&amp;NEWS=n&amp;CSC=Y&amp;PAGE=booktext&amp;D=books&amp;AN=01438884$&amp;XPATH=/PG(0)&amp;EPUB=Y</v>
      </c>
      <c r="G1008" t="s">
        <v>2139</v>
      </c>
      <c r="H1008" t="s">
        <v>2974</v>
      </c>
      <c r="I1008">
        <v>1206726</v>
      </c>
      <c r="J1008" t="s">
        <v>3263</v>
      </c>
      <c r="K1008" t="s">
        <v>2234</v>
      </c>
    </row>
    <row r="1009" spans="1:11" x14ac:dyDescent="0.3">
      <c r="A1009" t="s">
        <v>2338</v>
      </c>
      <c r="B1009" t="s">
        <v>2344</v>
      </c>
      <c r="C1009" t="s">
        <v>1942</v>
      </c>
      <c r="D1009" t="s">
        <v>4111</v>
      </c>
      <c r="E1009" t="s">
        <v>1104</v>
      </c>
      <c r="F1009" s="1" t="str">
        <f>HYPERLINK("http://ovidsp.ovid.com/ovidweb.cgi?T=JS&amp;NEWS=n&amp;CSC=Y&amp;PAGE=booktext&amp;D=books&amp;AN=01382672$&amp;XPATH=/PG(0)&amp;EPUB=Y","http://ovidsp.ovid.com/ovidweb.cgi?T=JS&amp;NEWS=n&amp;CSC=Y&amp;PAGE=booktext&amp;D=books&amp;AN=01382672$&amp;XPATH=/PG(0)&amp;EPUB=Y")</f>
        <v>http://ovidsp.ovid.com/ovidweb.cgi?T=JS&amp;NEWS=n&amp;CSC=Y&amp;PAGE=booktext&amp;D=books&amp;AN=01382672$&amp;XPATH=/PG(0)&amp;EPUB=Y</v>
      </c>
      <c r="G1009" t="s">
        <v>2139</v>
      </c>
      <c r="H1009" t="s">
        <v>2974</v>
      </c>
      <c r="I1009">
        <v>1206726</v>
      </c>
      <c r="J1009" t="s">
        <v>3263</v>
      </c>
      <c r="K1009" t="s">
        <v>1580</v>
      </c>
    </row>
    <row r="1010" spans="1:11" x14ac:dyDescent="0.3">
      <c r="A1010" t="s">
        <v>1421</v>
      </c>
      <c r="B1010" t="s">
        <v>1164</v>
      </c>
      <c r="C1010" t="s">
        <v>3417</v>
      </c>
      <c r="D1010" t="s">
        <v>4111</v>
      </c>
      <c r="E1010" t="s">
        <v>1104</v>
      </c>
      <c r="F1010" s="1" t="str">
        <f>HYPERLINK("http://ovidsp.ovid.com/ovidweb.cgi?T=JS&amp;NEWS=n&amp;CSC=Y&amp;PAGE=booktext&amp;D=books&amp;AN=01382673$&amp;XPATH=/PG(0)&amp;EPUB=Y","http://ovidsp.ovid.com/ovidweb.cgi?T=JS&amp;NEWS=n&amp;CSC=Y&amp;PAGE=booktext&amp;D=books&amp;AN=01382673$&amp;XPATH=/PG(0)&amp;EPUB=Y")</f>
        <v>http://ovidsp.ovid.com/ovidweb.cgi?T=JS&amp;NEWS=n&amp;CSC=Y&amp;PAGE=booktext&amp;D=books&amp;AN=01382673$&amp;XPATH=/PG(0)&amp;EPUB=Y</v>
      </c>
      <c r="G1010" t="s">
        <v>2139</v>
      </c>
      <c r="H1010" t="s">
        <v>2974</v>
      </c>
      <c r="I1010">
        <v>1206726</v>
      </c>
      <c r="J1010" t="s">
        <v>3263</v>
      </c>
      <c r="K1010" t="s">
        <v>1824</v>
      </c>
    </row>
    <row r="1011" spans="1:11" x14ac:dyDescent="0.3">
      <c r="A1011" t="s">
        <v>3839</v>
      </c>
      <c r="B1011" t="s">
        <v>615</v>
      </c>
      <c r="C1011" t="s">
        <v>1976</v>
      </c>
      <c r="D1011" t="s">
        <v>4111</v>
      </c>
      <c r="E1011" t="s">
        <v>2223</v>
      </c>
      <c r="F1011" s="1" t="str">
        <f>HYPERLINK("http://ovidsp.ovid.com/ovidweb.cgi?T=JS&amp;NEWS=n&amp;CSC=Y&amp;PAGE=booktext&amp;D=books&amp;AN=01382886$&amp;XPATH=/PG(0)&amp;EPUB=Y","http://ovidsp.ovid.com/ovidweb.cgi?T=JS&amp;NEWS=n&amp;CSC=Y&amp;PAGE=booktext&amp;D=books&amp;AN=01382886$&amp;XPATH=/PG(0)&amp;EPUB=Y")</f>
        <v>http://ovidsp.ovid.com/ovidweb.cgi?T=JS&amp;NEWS=n&amp;CSC=Y&amp;PAGE=booktext&amp;D=books&amp;AN=01382886$&amp;XPATH=/PG(0)&amp;EPUB=Y</v>
      </c>
      <c r="G1011" t="s">
        <v>2139</v>
      </c>
      <c r="H1011" t="s">
        <v>2974</v>
      </c>
      <c r="I1011">
        <v>1206726</v>
      </c>
      <c r="J1011" t="s">
        <v>3263</v>
      </c>
      <c r="K1011" t="s">
        <v>893</v>
      </c>
    </row>
    <row r="1012" spans="1:11" x14ac:dyDescent="0.3">
      <c r="A1012" t="s">
        <v>4103</v>
      </c>
      <c r="B1012" t="s">
        <v>3928</v>
      </c>
      <c r="C1012" t="s">
        <v>3820</v>
      </c>
      <c r="D1012" t="s">
        <v>4111</v>
      </c>
      <c r="E1012" t="s">
        <v>2223</v>
      </c>
      <c r="F1012" s="1" t="str">
        <f>HYPERLINK("http://ovidsp.ovid.com/ovidweb.cgi?T=JS&amp;NEWS=n&amp;CSC=Y&amp;PAGE=booktext&amp;D=books&amp;AN=01626616$&amp;XPATH=/PG(0)&amp;EPUB=Y","http://ovidsp.ovid.com/ovidweb.cgi?T=JS&amp;NEWS=n&amp;CSC=Y&amp;PAGE=booktext&amp;D=books&amp;AN=01626616$&amp;XPATH=/PG(0)&amp;EPUB=Y")</f>
        <v>http://ovidsp.ovid.com/ovidweb.cgi?T=JS&amp;NEWS=n&amp;CSC=Y&amp;PAGE=booktext&amp;D=books&amp;AN=01626616$&amp;XPATH=/PG(0)&amp;EPUB=Y</v>
      </c>
      <c r="G1012" t="s">
        <v>2139</v>
      </c>
      <c r="H1012" t="s">
        <v>2974</v>
      </c>
      <c r="I1012">
        <v>1206726</v>
      </c>
      <c r="J1012" t="s">
        <v>3263</v>
      </c>
      <c r="K1012" t="s">
        <v>4646</v>
      </c>
    </row>
    <row r="1013" spans="1:11" x14ac:dyDescent="0.3">
      <c r="A1013" t="s">
        <v>883</v>
      </c>
      <c r="B1013" t="s">
        <v>1282</v>
      </c>
      <c r="C1013" t="s">
        <v>4516</v>
      </c>
      <c r="D1013" t="s">
        <v>4111</v>
      </c>
      <c r="E1013" t="s">
        <v>2223</v>
      </c>
      <c r="F1013" s="1" t="str">
        <f>HYPERLINK("http://ovidsp.ovid.com/ovidweb.cgi?T=JS&amp;NEWS=n&amp;CSC=Y&amp;PAGE=booktext&amp;D=books&amp;AN=01382861$&amp;XPATH=/PG(0)&amp;EPUB=Y","http://ovidsp.ovid.com/ovidweb.cgi?T=JS&amp;NEWS=n&amp;CSC=Y&amp;PAGE=booktext&amp;D=books&amp;AN=01382861$&amp;XPATH=/PG(0)&amp;EPUB=Y")</f>
        <v>http://ovidsp.ovid.com/ovidweb.cgi?T=JS&amp;NEWS=n&amp;CSC=Y&amp;PAGE=booktext&amp;D=books&amp;AN=01382861$&amp;XPATH=/PG(0)&amp;EPUB=Y</v>
      </c>
      <c r="G1013" t="s">
        <v>2139</v>
      </c>
      <c r="H1013" t="s">
        <v>2974</v>
      </c>
      <c r="I1013">
        <v>1206726</v>
      </c>
      <c r="J1013" t="s">
        <v>3263</v>
      </c>
      <c r="K1013" t="s">
        <v>847</v>
      </c>
    </row>
    <row r="1014" spans="1:11" x14ac:dyDescent="0.3">
      <c r="A1014" t="s">
        <v>3542</v>
      </c>
      <c r="B1014" t="s">
        <v>4716</v>
      </c>
      <c r="C1014" t="s">
        <v>135</v>
      </c>
      <c r="D1014" t="s">
        <v>4111</v>
      </c>
      <c r="E1014" t="s">
        <v>2223</v>
      </c>
      <c r="F1014" s="1" t="str">
        <f>HYPERLINK("http://ovidsp.ovid.com/ovidweb.cgi?T=JS&amp;NEWS=n&amp;CSC=Y&amp;PAGE=booktext&amp;D=books&amp;AN=01435762$&amp;XPATH=/PG(0)&amp;EPUB=Y","http://ovidsp.ovid.com/ovidweb.cgi?T=JS&amp;NEWS=n&amp;CSC=Y&amp;PAGE=booktext&amp;D=books&amp;AN=01435762$&amp;XPATH=/PG(0)&amp;EPUB=Y")</f>
        <v>http://ovidsp.ovid.com/ovidweb.cgi?T=JS&amp;NEWS=n&amp;CSC=Y&amp;PAGE=booktext&amp;D=books&amp;AN=01435762$&amp;XPATH=/PG(0)&amp;EPUB=Y</v>
      </c>
      <c r="G1014" t="s">
        <v>2139</v>
      </c>
      <c r="H1014" t="s">
        <v>2974</v>
      </c>
      <c r="I1014">
        <v>1206726</v>
      </c>
      <c r="J1014" t="s">
        <v>3263</v>
      </c>
      <c r="K1014" t="s">
        <v>1989</v>
      </c>
    </row>
    <row r="1015" spans="1:11" x14ac:dyDescent="0.3">
      <c r="A1015" t="s">
        <v>4408</v>
      </c>
      <c r="B1015" t="s">
        <v>2375</v>
      </c>
      <c r="C1015" t="s">
        <v>4501</v>
      </c>
      <c r="D1015" t="s">
        <v>4111</v>
      </c>
      <c r="E1015" t="s">
        <v>2876</v>
      </c>
      <c r="F1015" s="1" t="str">
        <f>HYPERLINK("http://ovidsp.ovid.com/ovidweb.cgi?T=JS&amp;NEWS=n&amp;CSC=Y&amp;PAGE=booktext&amp;D=books&amp;AN=00139986$&amp;XPATH=/PG(0)&amp;EPUB=Y","http://ovidsp.ovid.com/ovidweb.cgi?T=JS&amp;NEWS=n&amp;CSC=Y&amp;PAGE=booktext&amp;D=books&amp;AN=00139986$&amp;XPATH=/PG(0)&amp;EPUB=Y")</f>
        <v>http://ovidsp.ovid.com/ovidweb.cgi?T=JS&amp;NEWS=n&amp;CSC=Y&amp;PAGE=booktext&amp;D=books&amp;AN=00139986$&amp;XPATH=/PG(0)&amp;EPUB=Y</v>
      </c>
      <c r="G1015" t="s">
        <v>2139</v>
      </c>
      <c r="H1015" t="s">
        <v>2974</v>
      </c>
      <c r="I1015">
        <v>1206726</v>
      </c>
      <c r="J1015" t="s">
        <v>3263</v>
      </c>
      <c r="K1015" t="s">
        <v>172</v>
      </c>
    </row>
    <row r="1016" spans="1:11" x14ac:dyDescent="0.3">
      <c r="A1016" t="s">
        <v>3683</v>
      </c>
      <c r="B1016" t="s">
        <v>1574</v>
      </c>
      <c r="C1016" t="s">
        <v>4223</v>
      </c>
      <c r="D1016" t="s">
        <v>4111</v>
      </c>
      <c r="E1016" t="s">
        <v>404</v>
      </c>
      <c r="F1016" s="1" t="str">
        <f>HYPERLINK("http://ovidsp.ovid.com/ovidweb.cgi?T=JS&amp;NEWS=n&amp;CSC=Y&amp;PAGE=booktext&amp;D=books&amp;AN=01382494$&amp;XPATH=/PG(0)&amp;EPUB=Y","http://ovidsp.ovid.com/ovidweb.cgi?T=JS&amp;NEWS=n&amp;CSC=Y&amp;PAGE=booktext&amp;D=books&amp;AN=01382494$&amp;XPATH=/PG(0)&amp;EPUB=Y")</f>
        <v>http://ovidsp.ovid.com/ovidweb.cgi?T=JS&amp;NEWS=n&amp;CSC=Y&amp;PAGE=booktext&amp;D=books&amp;AN=01382494$&amp;XPATH=/PG(0)&amp;EPUB=Y</v>
      </c>
      <c r="G1016" t="s">
        <v>2139</v>
      </c>
      <c r="H1016" t="s">
        <v>2974</v>
      </c>
      <c r="I1016">
        <v>1206726</v>
      </c>
      <c r="J1016" t="s">
        <v>3263</v>
      </c>
      <c r="K1016" t="s">
        <v>4148</v>
      </c>
    </row>
    <row r="1017" spans="1:11" x14ac:dyDescent="0.3">
      <c r="A1017" t="s">
        <v>780</v>
      </c>
      <c r="B1017" t="s">
        <v>2229</v>
      </c>
      <c r="C1017" t="s">
        <v>2548</v>
      </c>
      <c r="D1017" t="s">
        <v>4111</v>
      </c>
      <c r="E1017" t="s">
        <v>2876</v>
      </c>
      <c r="F1017" s="1" t="str">
        <f>HYPERLINK("http://ovidsp.ovid.com/ovidweb.cgi?T=JS&amp;NEWS=n&amp;CSC=Y&amp;PAGE=booktext&amp;D=books&amp;AN=00140050$&amp;XPATH=/PG(0)&amp;EPUB=Y","http://ovidsp.ovid.com/ovidweb.cgi?T=JS&amp;NEWS=n&amp;CSC=Y&amp;PAGE=booktext&amp;D=books&amp;AN=00140050$&amp;XPATH=/PG(0)&amp;EPUB=Y")</f>
        <v>http://ovidsp.ovid.com/ovidweb.cgi?T=JS&amp;NEWS=n&amp;CSC=Y&amp;PAGE=booktext&amp;D=books&amp;AN=00140050$&amp;XPATH=/PG(0)&amp;EPUB=Y</v>
      </c>
      <c r="G1017" t="s">
        <v>2139</v>
      </c>
      <c r="H1017" t="s">
        <v>2974</v>
      </c>
      <c r="I1017">
        <v>1206726</v>
      </c>
      <c r="J1017" t="s">
        <v>3263</v>
      </c>
      <c r="K1017" t="s">
        <v>1725</v>
      </c>
    </row>
    <row r="1018" spans="1:11" x14ac:dyDescent="0.3">
      <c r="A1018" t="s">
        <v>2126</v>
      </c>
      <c r="B1018" t="s">
        <v>4163</v>
      </c>
      <c r="C1018" t="s">
        <v>368</v>
      </c>
      <c r="D1018" t="s">
        <v>4111</v>
      </c>
      <c r="E1018" t="s">
        <v>1595</v>
      </c>
      <c r="F1018" s="1" t="str">
        <f>HYPERLINK("http://ovidsp.ovid.com/ovidweb.cgi?T=JS&amp;NEWS=n&amp;CSC=Y&amp;PAGE=booktext&amp;D=books&amp;AN=01437398$&amp;XPATH=/PG(0)&amp;EPUB=Y","http://ovidsp.ovid.com/ovidweb.cgi?T=JS&amp;NEWS=n&amp;CSC=Y&amp;PAGE=booktext&amp;D=books&amp;AN=01437398$&amp;XPATH=/PG(0)&amp;EPUB=Y")</f>
        <v>http://ovidsp.ovid.com/ovidweb.cgi?T=JS&amp;NEWS=n&amp;CSC=Y&amp;PAGE=booktext&amp;D=books&amp;AN=01437398$&amp;XPATH=/PG(0)&amp;EPUB=Y</v>
      </c>
      <c r="G1018" t="s">
        <v>2139</v>
      </c>
      <c r="H1018" t="s">
        <v>2974</v>
      </c>
      <c r="I1018">
        <v>1206726</v>
      </c>
      <c r="J1018" t="s">
        <v>3263</v>
      </c>
      <c r="K1018" t="s">
        <v>3418</v>
      </c>
    </row>
    <row r="1019" spans="1:11" x14ac:dyDescent="0.3">
      <c r="A1019" t="s">
        <v>4283</v>
      </c>
      <c r="B1019" t="s">
        <v>4445</v>
      </c>
      <c r="C1019" t="s">
        <v>1499</v>
      </c>
      <c r="D1019" t="s">
        <v>4111</v>
      </c>
      <c r="E1019" t="s">
        <v>2223</v>
      </c>
      <c r="F1019" s="1" t="str">
        <f>HYPERLINK("http://ovidsp.ovid.com/ovidweb.cgi?T=JS&amp;NEWS=n&amp;CSC=Y&amp;PAGE=booktext&amp;D=books&amp;AN=01382676$&amp;XPATH=/PG(0)&amp;EPUB=Y","http://ovidsp.ovid.com/ovidweb.cgi?T=JS&amp;NEWS=n&amp;CSC=Y&amp;PAGE=booktext&amp;D=books&amp;AN=01382676$&amp;XPATH=/PG(0)&amp;EPUB=Y")</f>
        <v>http://ovidsp.ovid.com/ovidweb.cgi?T=JS&amp;NEWS=n&amp;CSC=Y&amp;PAGE=booktext&amp;D=books&amp;AN=01382676$&amp;XPATH=/PG(0)&amp;EPUB=Y</v>
      </c>
      <c r="G1019" t="s">
        <v>2139</v>
      </c>
      <c r="H1019" t="s">
        <v>2974</v>
      </c>
      <c r="I1019">
        <v>1206726</v>
      </c>
      <c r="J1019" t="s">
        <v>3263</v>
      </c>
      <c r="K1019" t="s">
        <v>3023</v>
      </c>
    </row>
    <row r="1020" spans="1:11" x14ac:dyDescent="0.3">
      <c r="A1020" t="s">
        <v>2623</v>
      </c>
      <c r="B1020" t="s">
        <v>70</v>
      </c>
      <c r="C1020" t="s">
        <v>37</v>
      </c>
      <c r="D1020" t="s">
        <v>4111</v>
      </c>
      <c r="E1020" t="s">
        <v>2876</v>
      </c>
      <c r="F1020" s="1" t="str">
        <f>HYPERLINK("http://ovidsp.ovid.com/ovidweb.cgi?T=JS&amp;NEWS=n&amp;CSC=Y&amp;PAGE=booktext&amp;D=books&amp;AN=01720557$&amp;XPATH=/PG(0)&amp;EPUB=Y","http://ovidsp.ovid.com/ovidweb.cgi?T=JS&amp;NEWS=n&amp;CSC=Y&amp;PAGE=booktext&amp;D=books&amp;AN=01720557$&amp;XPATH=/PG(0)&amp;EPUB=Y")</f>
        <v>http://ovidsp.ovid.com/ovidweb.cgi?T=JS&amp;NEWS=n&amp;CSC=Y&amp;PAGE=booktext&amp;D=books&amp;AN=01720557$&amp;XPATH=/PG(0)&amp;EPUB=Y</v>
      </c>
      <c r="G1020" t="s">
        <v>2139</v>
      </c>
      <c r="H1020" t="s">
        <v>2974</v>
      </c>
      <c r="I1020">
        <v>1206726</v>
      </c>
      <c r="J1020" t="s">
        <v>3263</v>
      </c>
      <c r="K1020" t="s">
        <v>1265</v>
      </c>
    </row>
    <row r="1021" spans="1:11" x14ac:dyDescent="0.3">
      <c r="A1021" t="s">
        <v>2623</v>
      </c>
      <c r="B1021" t="s">
        <v>486</v>
      </c>
      <c r="C1021" t="s">
        <v>1803</v>
      </c>
      <c r="D1021" t="s">
        <v>4111</v>
      </c>
      <c r="E1021" t="s">
        <v>3051</v>
      </c>
      <c r="F1021" s="1" t="str">
        <f>HYPERLINK("http://ovidsp.ovid.com/ovidweb.cgi?T=JS&amp;NEWS=n&amp;CSC=Y&amp;PAGE=booktext&amp;D=books&amp;AN=01412512$&amp;XPATH=/PG(0)&amp;EPUB=Y","http://ovidsp.ovid.com/ovidweb.cgi?T=JS&amp;NEWS=n&amp;CSC=Y&amp;PAGE=booktext&amp;D=books&amp;AN=01412512$&amp;XPATH=/PG(0)&amp;EPUB=Y")</f>
        <v>http://ovidsp.ovid.com/ovidweb.cgi?T=JS&amp;NEWS=n&amp;CSC=Y&amp;PAGE=booktext&amp;D=books&amp;AN=01412512$&amp;XPATH=/PG(0)&amp;EPUB=Y</v>
      </c>
      <c r="G1021" t="s">
        <v>2139</v>
      </c>
      <c r="H1021" t="s">
        <v>2974</v>
      </c>
      <c r="I1021">
        <v>1206726</v>
      </c>
      <c r="J1021" t="s">
        <v>3263</v>
      </c>
      <c r="K1021" t="s">
        <v>637</v>
      </c>
    </row>
    <row r="1022" spans="1:11" x14ac:dyDescent="0.3">
      <c r="A1022" t="s">
        <v>3952</v>
      </c>
      <c r="B1022" t="s">
        <v>1130</v>
      </c>
      <c r="C1022" t="s">
        <v>1496</v>
      </c>
      <c r="D1022" t="s">
        <v>4111</v>
      </c>
      <c r="E1022" t="s">
        <v>2223</v>
      </c>
      <c r="F1022" s="1" t="str">
        <f>HYPERLINK("http://ovidsp.ovid.com/ovidweb.cgi?T=JS&amp;NEWS=n&amp;CSC=Y&amp;PAGE=booktext&amp;D=books&amp;AN=01382830$&amp;XPATH=/PG(0)&amp;EPUB=Y","http://ovidsp.ovid.com/ovidweb.cgi?T=JS&amp;NEWS=n&amp;CSC=Y&amp;PAGE=booktext&amp;D=books&amp;AN=01382830$&amp;XPATH=/PG(0)&amp;EPUB=Y")</f>
        <v>http://ovidsp.ovid.com/ovidweb.cgi?T=JS&amp;NEWS=n&amp;CSC=Y&amp;PAGE=booktext&amp;D=books&amp;AN=01382830$&amp;XPATH=/PG(0)&amp;EPUB=Y</v>
      </c>
      <c r="G1022" t="s">
        <v>2139</v>
      </c>
      <c r="H1022" t="s">
        <v>2974</v>
      </c>
      <c r="I1022">
        <v>1206726</v>
      </c>
      <c r="J1022" t="s">
        <v>3263</v>
      </c>
      <c r="K1022" t="s">
        <v>2753</v>
      </c>
    </row>
    <row r="1023" spans="1:11" x14ac:dyDescent="0.3">
      <c r="A1023" t="s">
        <v>4710</v>
      </c>
      <c r="B1023" t="s">
        <v>156</v>
      </c>
      <c r="C1023" t="s">
        <v>1206</v>
      </c>
      <c r="D1023" t="s">
        <v>4111</v>
      </c>
      <c r="E1023" t="s">
        <v>2876</v>
      </c>
      <c r="F1023" s="1" t="str">
        <f>HYPERLINK("http://ovidsp.ovid.com/ovidweb.cgi?T=JS&amp;NEWS=n&amp;CSC=Y&amp;PAGE=booktext&amp;D=books&amp;AN=01429519$&amp;XPATH=/PG(0)&amp;EPUB=Y","http://ovidsp.ovid.com/ovidweb.cgi?T=JS&amp;NEWS=n&amp;CSC=Y&amp;PAGE=booktext&amp;D=books&amp;AN=01429519$&amp;XPATH=/PG(0)&amp;EPUB=Y")</f>
        <v>http://ovidsp.ovid.com/ovidweb.cgi?T=JS&amp;NEWS=n&amp;CSC=Y&amp;PAGE=booktext&amp;D=books&amp;AN=01429519$&amp;XPATH=/PG(0)&amp;EPUB=Y</v>
      </c>
      <c r="G1023" t="s">
        <v>2139</v>
      </c>
      <c r="H1023" t="s">
        <v>2974</v>
      </c>
      <c r="I1023">
        <v>1206726</v>
      </c>
      <c r="J1023" t="s">
        <v>3263</v>
      </c>
      <c r="K1023" t="s">
        <v>4197</v>
      </c>
    </row>
    <row r="1024" spans="1:11" x14ac:dyDescent="0.3">
      <c r="A1024" t="s">
        <v>1799</v>
      </c>
      <c r="B1024" t="s">
        <v>2939</v>
      </c>
      <c r="C1024" t="s">
        <v>3945</v>
      </c>
      <c r="D1024" t="s">
        <v>4111</v>
      </c>
      <c r="E1024" t="s">
        <v>1104</v>
      </c>
      <c r="F1024" s="1" t="str">
        <f>HYPERLINK("http://ovidsp.ovid.com/ovidweb.cgi?T=JS&amp;NEWS=n&amp;CSC=Y&amp;PAGE=booktext&amp;D=books&amp;AN=01429706$&amp;XPATH=/PG(0)&amp;EPUB=Y","http://ovidsp.ovid.com/ovidweb.cgi?T=JS&amp;NEWS=n&amp;CSC=Y&amp;PAGE=booktext&amp;D=books&amp;AN=01429706$&amp;XPATH=/PG(0)&amp;EPUB=Y")</f>
        <v>http://ovidsp.ovid.com/ovidweb.cgi?T=JS&amp;NEWS=n&amp;CSC=Y&amp;PAGE=booktext&amp;D=books&amp;AN=01429706$&amp;XPATH=/PG(0)&amp;EPUB=Y</v>
      </c>
      <c r="G1024" t="s">
        <v>2139</v>
      </c>
      <c r="H1024" t="s">
        <v>2974</v>
      </c>
      <c r="I1024">
        <v>1206726</v>
      </c>
      <c r="J1024" t="s">
        <v>3263</v>
      </c>
      <c r="K1024" t="s">
        <v>4083</v>
      </c>
    </row>
    <row r="1025" spans="1:11" x14ac:dyDescent="0.3">
      <c r="A1025" t="s">
        <v>231</v>
      </c>
      <c r="B1025" t="s">
        <v>4185</v>
      </c>
      <c r="C1025" t="s">
        <v>4528</v>
      </c>
      <c r="D1025" t="s">
        <v>4111</v>
      </c>
      <c r="E1025" t="s">
        <v>404</v>
      </c>
      <c r="F1025" s="1" t="str">
        <f>HYPERLINK("http://ovidsp.ovid.com/ovidweb.cgi?T=JS&amp;NEWS=n&amp;CSC=Y&amp;PAGE=booktext&amp;D=books&amp;AN=01382630$&amp;XPATH=/PG(0)&amp;EPUB=Y","http://ovidsp.ovid.com/ovidweb.cgi?T=JS&amp;NEWS=n&amp;CSC=Y&amp;PAGE=booktext&amp;D=books&amp;AN=01382630$&amp;XPATH=/PG(0)&amp;EPUB=Y")</f>
        <v>http://ovidsp.ovid.com/ovidweb.cgi?T=JS&amp;NEWS=n&amp;CSC=Y&amp;PAGE=booktext&amp;D=books&amp;AN=01382630$&amp;XPATH=/PG(0)&amp;EPUB=Y</v>
      </c>
      <c r="G1025" t="s">
        <v>2139</v>
      </c>
      <c r="H1025" t="s">
        <v>2974</v>
      </c>
      <c r="I1025">
        <v>1206726</v>
      </c>
      <c r="J1025" t="s">
        <v>3263</v>
      </c>
      <c r="K1025" t="s">
        <v>978</v>
      </c>
    </row>
    <row r="1026" spans="1:11" x14ac:dyDescent="0.3">
      <c r="A1026" t="s">
        <v>2833</v>
      </c>
      <c r="B1026" t="s">
        <v>4349</v>
      </c>
      <c r="C1026" t="s">
        <v>584</v>
      </c>
      <c r="D1026" t="s">
        <v>4111</v>
      </c>
      <c r="E1026" t="s">
        <v>2223</v>
      </c>
      <c r="F1026" s="1" t="str">
        <f>HYPERLINK("http://ovidsp.ovid.com/ovidweb.cgi?T=JS&amp;NEWS=n&amp;CSC=Y&amp;PAGE=booktext&amp;D=books&amp;AN=01337647$&amp;XPATH=/PG(0)&amp;EPUB=Y","http://ovidsp.ovid.com/ovidweb.cgi?T=JS&amp;NEWS=n&amp;CSC=Y&amp;PAGE=booktext&amp;D=books&amp;AN=01337647$&amp;XPATH=/PG(0)&amp;EPUB=Y")</f>
        <v>http://ovidsp.ovid.com/ovidweb.cgi?T=JS&amp;NEWS=n&amp;CSC=Y&amp;PAGE=booktext&amp;D=books&amp;AN=01337647$&amp;XPATH=/PG(0)&amp;EPUB=Y</v>
      </c>
      <c r="G1026" t="s">
        <v>2139</v>
      </c>
      <c r="H1026" t="s">
        <v>2974</v>
      </c>
      <c r="I1026">
        <v>1206726</v>
      </c>
      <c r="J1026" t="s">
        <v>3263</v>
      </c>
      <c r="K1026" t="s">
        <v>3543</v>
      </c>
    </row>
    <row r="1027" spans="1:11" x14ac:dyDescent="0.3">
      <c r="A1027" t="s">
        <v>2005</v>
      </c>
      <c r="B1027" t="s">
        <v>3891</v>
      </c>
      <c r="C1027" t="s">
        <v>469</v>
      </c>
      <c r="D1027" t="s">
        <v>4111</v>
      </c>
      <c r="E1027" t="s">
        <v>2223</v>
      </c>
      <c r="F1027" s="1" t="str">
        <f>HYPERLINK("http://ovidsp.ovid.com/ovidweb.cgi?T=JS&amp;NEWS=n&amp;CSC=Y&amp;PAGE=booktext&amp;D=books&amp;AN=01223038$&amp;XPATH=/PG(0)&amp;EPUB=Y","http://ovidsp.ovid.com/ovidweb.cgi?T=JS&amp;NEWS=n&amp;CSC=Y&amp;PAGE=booktext&amp;D=books&amp;AN=01223038$&amp;XPATH=/PG(0)&amp;EPUB=Y")</f>
        <v>http://ovidsp.ovid.com/ovidweb.cgi?T=JS&amp;NEWS=n&amp;CSC=Y&amp;PAGE=booktext&amp;D=books&amp;AN=01223038$&amp;XPATH=/PG(0)&amp;EPUB=Y</v>
      </c>
      <c r="G1027" t="s">
        <v>2139</v>
      </c>
      <c r="H1027" t="s">
        <v>2974</v>
      </c>
      <c r="I1027">
        <v>1206726</v>
      </c>
      <c r="J1027" t="s">
        <v>3263</v>
      </c>
      <c r="K1027" t="s">
        <v>218</v>
      </c>
    </row>
    <row r="1028" spans="1:11" x14ac:dyDescent="0.3">
      <c r="A1028" t="s">
        <v>1891</v>
      </c>
      <c r="B1028" t="s">
        <v>1618</v>
      </c>
      <c r="C1028" t="s">
        <v>339</v>
      </c>
      <c r="D1028" t="s">
        <v>4111</v>
      </c>
      <c r="E1028" t="s">
        <v>2223</v>
      </c>
      <c r="F1028" s="1" t="str">
        <f>HYPERLINK("http://ovidsp.ovid.com/ovidweb.cgi?T=JS&amp;NEWS=n&amp;CSC=Y&amp;PAGE=booktext&amp;D=books&amp;AN=01382759$&amp;XPATH=/PG(0)&amp;EPUB=Y","http://ovidsp.ovid.com/ovidweb.cgi?T=JS&amp;NEWS=n&amp;CSC=Y&amp;PAGE=booktext&amp;D=books&amp;AN=01382759$&amp;XPATH=/PG(0)&amp;EPUB=Y")</f>
        <v>http://ovidsp.ovid.com/ovidweb.cgi?T=JS&amp;NEWS=n&amp;CSC=Y&amp;PAGE=booktext&amp;D=books&amp;AN=01382759$&amp;XPATH=/PG(0)&amp;EPUB=Y</v>
      </c>
      <c r="G1028" t="s">
        <v>2139</v>
      </c>
      <c r="H1028" t="s">
        <v>2974</v>
      </c>
      <c r="I1028">
        <v>1206726</v>
      </c>
      <c r="J1028" t="s">
        <v>3263</v>
      </c>
      <c r="K1028" t="s">
        <v>4418</v>
      </c>
    </row>
    <row r="1029" spans="1:11" x14ac:dyDescent="0.3">
      <c r="A1029" t="s">
        <v>1613</v>
      </c>
      <c r="B1029" t="s">
        <v>3657</v>
      </c>
      <c r="C1029" t="s">
        <v>4498</v>
      </c>
      <c r="D1029" t="s">
        <v>4111</v>
      </c>
      <c r="E1029" t="s">
        <v>2223</v>
      </c>
      <c r="F1029" s="1" t="str">
        <f>HYPERLINK("http://ovidsp.ovid.com/ovidweb.cgi?T=JS&amp;NEWS=n&amp;CSC=Y&amp;PAGE=booktext&amp;D=books&amp;AN=01382758$&amp;XPATH=/PG(0)&amp;EPUB=Y","http://ovidsp.ovid.com/ovidweb.cgi?T=JS&amp;NEWS=n&amp;CSC=Y&amp;PAGE=booktext&amp;D=books&amp;AN=01382758$&amp;XPATH=/PG(0)&amp;EPUB=Y")</f>
        <v>http://ovidsp.ovid.com/ovidweb.cgi?T=JS&amp;NEWS=n&amp;CSC=Y&amp;PAGE=booktext&amp;D=books&amp;AN=01382758$&amp;XPATH=/PG(0)&amp;EPUB=Y</v>
      </c>
      <c r="G1029" t="s">
        <v>2139</v>
      </c>
      <c r="H1029" t="s">
        <v>2974</v>
      </c>
      <c r="I1029">
        <v>1206726</v>
      </c>
      <c r="J1029" t="s">
        <v>3263</v>
      </c>
      <c r="K1029" t="s">
        <v>3757</v>
      </c>
    </row>
    <row r="1030" spans="1:11" x14ac:dyDescent="0.3">
      <c r="A1030" t="s">
        <v>3770</v>
      </c>
      <c r="B1030" t="s">
        <v>4027</v>
      </c>
      <c r="C1030" t="s">
        <v>2659</v>
      </c>
      <c r="D1030" t="s">
        <v>4111</v>
      </c>
      <c r="E1030" t="s">
        <v>2223</v>
      </c>
      <c r="F1030" s="1" t="str">
        <f>HYPERLINK("http://ovidsp.ovid.com/ovidweb.cgi?T=JS&amp;NEWS=n&amp;CSC=Y&amp;PAGE=booktext&amp;D=books&amp;AN=01382760$&amp;XPATH=/PG(0)&amp;EPUB=Y","http://ovidsp.ovid.com/ovidweb.cgi?T=JS&amp;NEWS=n&amp;CSC=Y&amp;PAGE=booktext&amp;D=books&amp;AN=01382760$&amp;XPATH=/PG(0)&amp;EPUB=Y")</f>
        <v>http://ovidsp.ovid.com/ovidweb.cgi?T=JS&amp;NEWS=n&amp;CSC=Y&amp;PAGE=booktext&amp;D=books&amp;AN=01382760$&amp;XPATH=/PG(0)&amp;EPUB=Y</v>
      </c>
      <c r="G1030" t="s">
        <v>2139</v>
      </c>
      <c r="H1030" t="s">
        <v>2974</v>
      </c>
      <c r="I1030">
        <v>1206726</v>
      </c>
      <c r="J1030" t="s">
        <v>3263</v>
      </c>
      <c r="K1030" t="s">
        <v>1109</v>
      </c>
    </row>
    <row r="1031" spans="1:11" x14ac:dyDescent="0.3">
      <c r="A1031" t="s">
        <v>4373</v>
      </c>
      <c r="B1031" t="s">
        <v>2597</v>
      </c>
      <c r="C1031" t="s">
        <v>316</v>
      </c>
      <c r="D1031" t="s">
        <v>4111</v>
      </c>
      <c r="E1031" t="s">
        <v>1595</v>
      </c>
      <c r="F1031" s="1" t="str">
        <f>HYPERLINK("http://ovidsp.ovid.com/ovidweb.cgi?T=JS&amp;NEWS=n&amp;CSC=Y&amp;PAGE=booktext&amp;D=books&amp;AN=01435382$&amp;XPATH=/PG(0)&amp;EPUB=Y","http://ovidsp.ovid.com/ovidweb.cgi?T=JS&amp;NEWS=n&amp;CSC=Y&amp;PAGE=booktext&amp;D=books&amp;AN=01435382$&amp;XPATH=/PG(0)&amp;EPUB=Y")</f>
        <v>http://ovidsp.ovid.com/ovidweb.cgi?T=JS&amp;NEWS=n&amp;CSC=Y&amp;PAGE=booktext&amp;D=books&amp;AN=01435382$&amp;XPATH=/PG(0)&amp;EPUB=Y</v>
      </c>
      <c r="G1031" t="s">
        <v>2139</v>
      </c>
      <c r="H1031" t="s">
        <v>2974</v>
      </c>
      <c r="I1031">
        <v>1206726</v>
      </c>
      <c r="J1031" t="s">
        <v>3263</v>
      </c>
      <c r="K1031" t="s">
        <v>4313</v>
      </c>
    </row>
    <row r="1032" spans="1:11" x14ac:dyDescent="0.3">
      <c r="A1032" t="s">
        <v>3509</v>
      </c>
      <c r="B1032" t="s">
        <v>1118</v>
      </c>
      <c r="C1032" t="s">
        <v>4660</v>
      </c>
      <c r="D1032" t="s">
        <v>4111</v>
      </c>
      <c r="E1032" t="s">
        <v>1595</v>
      </c>
      <c r="F1032" s="1" t="str">
        <f>HYPERLINK("http://ovidsp.ovid.com/ovidweb.cgi?T=JS&amp;NEWS=n&amp;CSC=Y&amp;PAGE=booktext&amp;D=books&amp;AN=01412550$&amp;XPATH=/PG(0)&amp;EPUB=Y","http://ovidsp.ovid.com/ovidweb.cgi?T=JS&amp;NEWS=n&amp;CSC=Y&amp;PAGE=booktext&amp;D=books&amp;AN=01412550$&amp;XPATH=/PG(0)&amp;EPUB=Y")</f>
        <v>http://ovidsp.ovid.com/ovidweb.cgi?T=JS&amp;NEWS=n&amp;CSC=Y&amp;PAGE=booktext&amp;D=books&amp;AN=01412550$&amp;XPATH=/PG(0)&amp;EPUB=Y</v>
      </c>
      <c r="G1032" t="s">
        <v>2139</v>
      </c>
      <c r="H1032" t="s">
        <v>2974</v>
      </c>
      <c r="I1032">
        <v>1206726</v>
      </c>
      <c r="J1032" t="s">
        <v>3263</v>
      </c>
      <c r="K1032" t="s">
        <v>3010</v>
      </c>
    </row>
    <row r="1033" spans="1:11" x14ac:dyDescent="0.3">
      <c r="A1033" t="s">
        <v>296</v>
      </c>
      <c r="B1033" t="s">
        <v>2358</v>
      </c>
      <c r="C1033" t="s">
        <v>4261</v>
      </c>
      <c r="D1033" t="s">
        <v>4111</v>
      </c>
      <c r="E1033" t="s">
        <v>2970</v>
      </c>
      <c r="F1033" s="1" t="str">
        <f>HYPERLINK("http://ovidsp.ovid.com/ovidweb.cgi?T=JS&amp;NEWS=n&amp;CSC=Y&amp;PAGE=booktext&amp;D=books&amp;AN=01787259$&amp;XPATH=/PG(0)&amp;EPUB=Y","http://ovidsp.ovid.com/ovidweb.cgi?T=JS&amp;NEWS=n&amp;CSC=Y&amp;PAGE=booktext&amp;D=books&amp;AN=01787259$&amp;XPATH=/PG(0)&amp;EPUB=Y")</f>
        <v>http://ovidsp.ovid.com/ovidweb.cgi?T=JS&amp;NEWS=n&amp;CSC=Y&amp;PAGE=booktext&amp;D=books&amp;AN=01787259$&amp;XPATH=/PG(0)&amp;EPUB=Y</v>
      </c>
      <c r="G1033" t="s">
        <v>2139</v>
      </c>
      <c r="H1033" t="s">
        <v>2974</v>
      </c>
      <c r="I1033">
        <v>1206726</v>
      </c>
      <c r="J1033" t="s">
        <v>3263</v>
      </c>
      <c r="K1033" t="s">
        <v>1556</v>
      </c>
    </row>
    <row r="1034" spans="1:11" x14ac:dyDescent="0.3">
      <c r="A1034" t="s">
        <v>2249</v>
      </c>
      <c r="B1034" t="s">
        <v>3849</v>
      </c>
      <c r="C1034" t="s">
        <v>1894</v>
      </c>
      <c r="D1034" t="s">
        <v>4111</v>
      </c>
      <c r="E1034" t="s">
        <v>3051</v>
      </c>
      <c r="F1034" s="1" t="str">
        <f>HYPERLINK("http://ovidsp.ovid.com/ovidweb.cgi?T=JS&amp;NEWS=n&amp;CSC=Y&amp;PAGE=booktext&amp;D=books&amp;AN=01337153$&amp;XPATH=/PG(0)&amp;EPUB=Y","http://ovidsp.ovid.com/ovidweb.cgi?T=JS&amp;NEWS=n&amp;CSC=Y&amp;PAGE=booktext&amp;D=books&amp;AN=01337153$&amp;XPATH=/PG(0)&amp;EPUB=Y")</f>
        <v>http://ovidsp.ovid.com/ovidweb.cgi?T=JS&amp;NEWS=n&amp;CSC=Y&amp;PAGE=booktext&amp;D=books&amp;AN=01337153$&amp;XPATH=/PG(0)&amp;EPUB=Y</v>
      </c>
      <c r="G1034" t="s">
        <v>2139</v>
      </c>
      <c r="H1034" t="s">
        <v>2974</v>
      </c>
      <c r="I1034">
        <v>1206726</v>
      </c>
      <c r="J1034" t="s">
        <v>3263</v>
      </c>
      <c r="K1034" t="s">
        <v>3357</v>
      </c>
    </row>
    <row r="1035" spans="1:11" x14ac:dyDescent="0.3">
      <c r="A1035" t="s">
        <v>3117</v>
      </c>
      <c r="B1035" t="s">
        <v>317</v>
      </c>
      <c r="C1035" t="s">
        <v>3584</v>
      </c>
      <c r="D1035" t="s">
        <v>4111</v>
      </c>
      <c r="E1035" t="s">
        <v>3051</v>
      </c>
      <c r="F1035" s="1" t="str">
        <f>HYPERLINK("http://ovidsp.ovid.com/ovidweb.cgi?T=JS&amp;NEWS=n&amp;CSC=Y&amp;PAGE=booktext&amp;D=books&amp;AN=01437573$&amp;XPATH=/PG(0)&amp;EPUB=Y","http://ovidsp.ovid.com/ovidweb.cgi?T=JS&amp;NEWS=n&amp;CSC=Y&amp;PAGE=booktext&amp;D=books&amp;AN=01437573$&amp;XPATH=/PG(0)&amp;EPUB=Y")</f>
        <v>http://ovidsp.ovid.com/ovidweb.cgi?T=JS&amp;NEWS=n&amp;CSC=Y&amp;PAGE=booktext&amp;D=books&amp;AN=01437573$&amp;XPATH=/PG(0)&amp;EPUB=Y</v>
      </c>
      <c r="G1035" t="s">
        <v>2139</v>
      </c>
      <c r="H1035" t="s">
        <v>2974</v>
      </c>
      <c r="I1035">
        <v>1206726</v>
      </c>
      <c r="J1035" t="s">
        <v>3263</v>
      </c>
      <c r="K1035" t="s">
        <v>3576</v>
      </c>
    </row>
    <row r="1036" spans="1:11" x14ac:dyDescent="0.3">
      <c r="A1036" t="s">
        <v>1415</v>
      </c>
      <c r="B1036" t="s">
        <v>4156</v>
      </c>
      <c r="C1036" t="s">
        <v>261</v>
      </c>
      <c r="D1036" t="s">
        <v>4111</v>
      </c>
      <c r="E1036" t="s">
        <v>1104</v>
      </c>
      <c r="F1036" s="1" t="str">
        <f>HYPERLINK("http://ovidsp.ovid.com/ovidweb.cgi?T=JS&amp;NEWS=n&amp;CSC=Y&amp;PAGE=booktext&amp;D=books&amp;AN=01337356$&amp;XPATH=/PG(0)&amp;EPUB=Y","http://ovidsp.ovid.com/ovidweb.cgi?T=JS&amp;NEWS=n&amp;CSC=Y&amp;PAGE=booktext&amp;D=books&amp;AN=01337356$&amp;XPATH=/PG(0)&amp;EPUB=Y")</f>
        <v>http://ovidsp.ovid.com/ovidweb.cgi?T=JS&amp;NEWS=n&amp;CSC=Y&amp;PAGE=booktext&amp;D=books&amp;AN=01337356$&amp;XPATH=/PG(0)&amp;EPUB=Y</v>
      </c>
      <c r="G1036" t="s">
        <v>2139</v>
      </c>
      <c r="H1036" t="s">
        <v>2974</v>
      </c>
      <c r="I1036">
        <v>1206726</v>
      </c>
      <c r="J1036" t="s">
        <v>3263</v>
      </c>
      <c r="K1036" t="s">
        <v>2712</v>
      </c>
    </row>
    <row r="1037" spans="1:11" x14ac:dyDescent="0.3">
      <c r="A1037" t="s">
        <v>459</v>
      </c>
      <c r="B1037" t="s">
        <v>473</v>
      </c>
      <c r="C1037" t="s">
        <v>4622</v>
      </c>
      <c r="D1037" t="s">
        <v>4111</v>
      </c>
      <c r="E1037" t="s">
        <v>3387</v>
      </c>
      <c r="F1037" s="1" t="str">
        <f>HYPERLINK("http://ovidsp.ovid.com/ovidweb.cgi?T=JS&amp;NEWS=n&amp;CSC=Y&amp;PAGE=booktext&amp;D=books&amp;AN=00140005$&amp;XPATH=/PG(0)&amp;EPUB=Y","http://ovidsp.ovid.com/ovidweb.cgi?T=JS&amp;NEWS=n&amp;CSC=Y&amp;PAGE=booktext&amp;D=books&amp;AN=00140005$&amp;XPATH=/PG(0)&amp;EPUB=Y")</f>
        <v>http://ovidsp.ovid.com/ovidweb.cgi?T=JS&amp;NEWS=n&amp;CSC=Y&amp;PAGE=booktext&amp;D=books&amp;AN=00140005$&amp;XPATH=/PG(0)&amp;EPUB=Y</v>
      </c>
      <c r="G1037" t="s">
        <v>2139</v>
      </c>
      <c r="H1037" t="s">
        <v>2974</v>
      </c>
      <c r="I1037">
        <v>1206726</v>
      </c>
      <c r="J1037" t="s">
        <v>3263</v>
      </c>
      <c r="K1037" t="s">
        <v>1396</v>
      </c>
    </row>
    <row r="1038" spans="1:11" x14ac:dyDescent="0.3">
      <c r="A1038" t="s">
        <v>1228</v>
      </c>
      <c r="B1038" t="s">
        <v>59</v>
      </c>
      <c r="C1038" t="s">
        <v>1147</v>
      </c>
      <c r="D1038" t="s">
        <v>4111</v>
      </c>
      <c r="E1038" t="s">
        <v>2970</v>
      </c>
      <c r="F1038" s="1" t="str">
        <f>HYPERLINK("http://ovidsp.ovid.com/ovidweb.cgi?T=JS&amp;NEWS=n&amp;CSC=Y&amp;PAGE=booktext&amp;D=books&amp;AN=01437400$&amp;XPATH=/PG(0)&amp;EPUB=Y","http://ovidsp.ovid.com/ovidweb.cgi?T=JS&amp;NEWS=n&amp;CSC=Y&amp;PAGE=booktext&amp;D=books&amp;AN=01437400$&amp;XPATH=/PG(0)&amp;EPUB=Y")</f>
        <v>http://ovidsp.ovid.com/ovidweb.cgi?T=JS&amp;NEWS=n&amp;CSC=Y&amp;PAGE=booktext&amp;D=books&amp;AN=01437400$&amp;XPATH=/PG(0)&amp;EPUB=Y</v>
      </c>
      <c r="G1038" t="s">
        <v>2139</v>
      </c>
      <c r="H1038" t="s">
        <v>2974</v>
      </c>
      <c r="I1038">
        <v>1206726</v>
      </c>
      <c r="J1038" t="s">
        <v>3263</v>
      </c>
      <c r="K1038" t="s">
        <v>2872</v>
      </c>
    </row>
    <row r="1039" spans="1:11" x14ac:dyDescent="0.3">
      <c r="A1039" t="s">
        <v>3882</v>
      </c>
      <c r="B1039" t="s">
        <v>4512</v>
      </c>
      <c r="C1039" t="s">
        <v>3495</v>
      </c>
      <c r="D1039" t="s">
        <v>4111</v>
      </c>
      <c r="E1039" t="s">
        <v>3051</v>
      </c>
      <c r="F1039" s="1" t="str">
        <f>HYPERLINK("http://ovidsp.ovid.com/ovidweb.cgi?T=JS&amp;NEWS=n&amp;CSC=Y&amp;PAGE=booktext&amp;D=books&amp;AN=01435746$&amp;XPATH=/PG(0)&amp;EPUB=Y","http://ovidsp.ovid.com/ovidweb.cgi?T=JS&amp;NEWS=n&amp;CSC=Y&amp;PAGE=booktext&amp;D=books&amp;AN=01435746$&amp;XPATH=/PG(0)&amp;EPUB=Y")</f>
        <v>http://ovidsp.ovid.com/ovidweb.cgi?T=JS&amp;NEWS=n&amp;CSC=Y&amp;PAGE=booktext&amp;D=books&amp;AN=01435746$&amp;XPATH=/PG(0)&amp;EPUB=Y</v>
      </c>
      <c r="G1039" t="s">
        <v>2139</v>
      </c>
      <c r="H1039" t="s">
        <v>2974</v>
      </c>
      <c r="I1039">
        <v>1206726</v>
      </c>
      <c r="J1039" t="s">
        <v>3263</v>
      </c>
      <c r="K1039" t="s">
        <v>3929</v>
      </c>
    </row>
    <row r="1040" spans="1:11" x14ac:dyDescent="0.3">
      <c r="A1040" t="s">
        <v>1015</v>
      </c>
      <c r="B1040" t="s">
        <v>328</v>
      </c>
      <c r="C1040" t="s">
        <v>202</v>
      </c>
      <c r="D1040" t="s">
        <v>4111</v>
      </c>
      <c r="E1040" t="s">
        <v>1104</v>
      </c>
      <c r="F1040" s="1" t="str">
        <f>HYPERLINK("http://ovidsp.ovid.com/ovidweb.cgi?T=JS&amp;NEWS=n&amp;CSC=Y&amp;PAGE=booktext&amp;D=books&amp;AN=01382495$&amp;XPATH=/PG(0)&amp;EPUB=Y","http://ovidsp.ovid.com/ovidweb.cgi?T=JS&amp;NEWS=n&amp;CSC=Y&amp;PAGE=booktext&amp;D=books&amp;AN=01382495$&amp;XPATH=/PG(0)&amp;EPUB=Y")</f>
        <v>http://ovidsp.ovid.com/ovidweb.cgi?T=JS&amp;NEWS=n&amp;CSC=Y&amp;PAGE=booktext&amp;D=books&amp;AN=01382495$&amp;XPATH=/PG(0)&amp;EPUB=Y</v>
      </c>
      <c r="G1040" t="s">
        <v>2139</v>
      </c>
      <c r="H1040" t="s">
        <v>2974</v>
      </c>
      <c r="I1040">
        <v>1206726</v>
      </c>
      <c r="J1040" t="s">
        <v>3263</v>
      </c>
      <c r="K1040" t="s">
        <v>1524</v>
      </c>
    </row>
    <row r="1041" spans="1:11" x14ac:dyDescent="0.3">
      <c r="A1041" t="s">
        <v>3439</v>
      </c>
      <c r="B1041" t="s">
        <v>3113</v>
      </c>
      <c r="C1041" t="s">
        <v>1367</v>
      </c>
      <c r="D1041" t="s">
        <v>4111</v>
      </c>
      <c r="E1041" t="s">
        <v>1104</v>
      </c>
      <c r="F1041" s="1" t="str">
        <f>HYPERLINK("http://ovidsp.ovid.com/ovidweb.cgi?T=JS&amp;NEWS=n&amp;CSC=Y&amp;PAGE=booktext&amp;D=books&amp;AN=01439423$&amp;XPATH=/PG(0)&amp;EPUB=Y","http://ovidsp.ovid.com/ovidweb.cgi?T=JS&amp;NEWS=n&amp;CSC=Y&amp;PAGE=booktext&amp;D=books&amp;AN=01439423$&amp;XPATH=/PG(0)&amp;EPUB=Y")</f>
        <v>http://ovidsp.ovid.com/ovidweb.cgi?T=JS&amp;NEWS=n&amp;CSC=Y&amp;PAGE=booktext&amp;D=books&amp;AN=01439423$&amp;XPATH=/PG(0)&amp;EPUB=Y</v>
      </c>
      <c r="G1041" t="s">
        <v>2139</v>
      </c>
      <c r="H1041" t="s">
        <v>2974</v>
      </c>
      <c r="I1041">
        <v>1206726</v>
      </c>
      <c r="J1041" t="s">
        <v>3263</v>
      </c>
      <c r="K1041" t="s">
        <v>2089</v>
      </c>
    </row>
    <row r="1042" spans="1:11" x14ac:dyDescent="0.3">
      <c r="A1042" t="s">
        <v>2916</v>
      </c>
      <c r="B1042" t="s">
        <v>2185</v>
      </c>
      <c r="C1042" t="s">
        <v>1557</v>
      </c>
      <c r="D1042" t="s">
        <v>4111</v>
      </c>
      <c r="E1042" t="s">
        <v>2565</v>
      </c>
      <c r="F1042" s="1" t="str">
        <f>HYPERLINK("http://ovidsp.ovid.com/ovidweb.cgi?T=JS&amp;NEWS=n&amp;CSC=Y&amp;PAGE=booktext&amp;D=books&amp;AN=01435956$&amp;XPATH=/PG(0)&amp;EPUB=Y","http://ovidsp.ovid.com/ovidweb.cgi?T=JS&amp;NEWS=n&amp;CSC=Y&amp;PAGE=booktext&amp;D=books&amp;AN=01435956$&amp;XPATH=/PG(0)&amp;EPUB=Y")</f>
        <v>http://ovidsp.ovid.com/ovidweb.cgi?T=JS&amp;NEWS=n&amp;CSC=Y&amp;PAGE=booktext&amp;D=books&amp;AN=01435956$&amp;XPATH=/PG(0)&amp;EPUB=Y</v>
      </c>
      <c r="G1042" t="s">
        <v>2139</v>
      </c>
      <c r="H1042" t="s">
        <v>2974</v>
      </c>
      <c r="I1042">
        <v>1206726</v>
      </c>
      <c r="J1042" t="s">
        <v>3263</v>
      </c>
      <c r="K1042" t="s">
        <v>359</v>
      </c>
    </row>
    <row r="1043" spans="1:11" x14ac:dyDescent="0.3">
      <c r="A1043" t="s">
        <v>210</v>
      </c>
      <c r="B1043" t="s">
        <v>289</v>
      </c>
      <c r="C1043" t="s">
        <v>545</v>
      </c>
      <c r="D1043" t="s">
        <v>4111</v>
      </c>
      <c r="E1043" t="s">
        <v>2223</v>
      </c>
      <c r="F1043" s="1" t="str">
        <f>HYPERLINK("http://ovidsp.ovid.com/ovidweb.cgi?T=JS&amp;NEWS=n&amp;CSC=Y&amp;PAGE=booktext&amp;D=books&amp;AN=01382577$&amp;XPATH=/PG(0)&amp;EPUB=Y","http://ovidsp.ovid.com/ovidweb.cgi?T=JS&amp;NEWS=n&amp;CSC=Y&amp;PAGE=booktext&amp;D=books&amp;AN=01382577$&amp;XPATH=/PG(0)&amp;EPUB=Y")</f>
        <v>http://ovidsp.ovid.com/ovidweb.cgi?T=JS&amp;NEWS=n&amp;CSC=Y&amp;PAGE=booktext&amp;D=books&amp;AN=01382577$&amp;XPATH=/PG(0)&amp;EPUB=Y</v>
      </c>
      <c r="G1043" t="s">
        <v>2139</v>
      </c>
      <c r="H1043" t="s">
        <v>2974</v>
      </c>
      <c r="I1043">
        <v>1206726</v>
      </c>
      <c r="J1043" t="s">
        <v>3263</v>
      </c>
      <c r="K1043" t="s">
        <v>78</v>
      </c>
    </row>
    <row r="1044" spans="1:11" x14ac:dyDescent="0.3">
      <c r="A1044" t="s">
        <v>4398</v>
      </c>
      <c r="B1044" t="s">
        <v>474</v>
      </c>
      <c r="C1044" t="s">
        <v>2203</v>
      </c>
      <c r="D1044" t="s">
        <v>4111</v>
      </c>
      <c r="E1044" t="s">
        <v>3051</v>
      </c>
      <c r="F1044" s="1" t="str">
        <f>HYPERLINK("http://ovidsp.ovid.com/ovidweb.cgi?T=JS&amp;NEWS=n&amp;CSC=Y&amp;PAGE=booktext&amp;D=books&amp;AN=01337152$&amp;XPATH=/PG(0)&amp;EPUB=Y","http://ovidsp.ovid.com/ovidweb.cgi?T=JS&amp;NEWS=n&amp;CSC=Y&amp;PAGE=booktext&amp;D=books&amp;AN=01337152$&amp;XPATH=/PG(0)&amp;EPUB=Y")</f>
        <v>http://ovidsp.ovid.com/ovidweb.cgi?T=JS&amp;NEWS=n&amp;CSC=Y&amp;PAGE=booktext&amp;D=books&amp;AN=01337152$&amp;XPATH=/PG(0)&amp;EPUB=Y</v>
      </c>
      <c r="G1044" t="s">
        <v>2139</v>
      </c>
      <c r="H1044" t="s">
        <v>2974</v>
      </c>
      <c r="I1044">
        <v>1206726</v>
      </c>
      <c r="J1044" t="s">
        <v>3263</v>
      </c>
      <c r="K1044" t="s">
        <v>4680</v>
      </c>
    </row>
    <row r="1045" spans="1:11" x14ac:dyDescent="0.3">
      <c r="A1045" t="s">
        <v>1498</v>
      </c>
      <c r="B1045" t="s">
        <v>3327</v>
      </c>
      <c r="C1045" t="s">
        <v>48</v>
      </c>
      <c r="D1045" t="s">
        <v>4111</v>
      </c>
      <c r="E1045" t="s">
        <v>3387</v>
      </c>
      <c r="F1045" s="1" t="str">
        <f>HYPERLINK("http://ovidsp.ovid.com/ovidweb.cgi?T=JS&amp;NEWS=n&amp;CSC=Y&amp;PAGE=booktext&amp;D=books&amp;AN=01437574$&amp;XPATH=/PG(0)&amp;EPUB=Y","http://ovidsp.ovid.com/ovidweb.cgi?T=JS&amp;NEWS=n&amp;CSC=Y&amp;PAGE=booktext&amp;D=books&amp;AN=01437574$&amp;XPATH=/PG(0)&amp;EPUB=Y")</f>
        <v>http://ovidsp.ovid.com/ovidweb.cgi?T=JS&amp;NEWS=n&amp;CSC=Y&amp;PAGE=booktext&amp;D=books&amp;AN=01437574$&amp;XPATH=/PG(0)&amp;EPUB=Y</v>
      </c>
      <c r="G1045" t="s">
        <v>2139</v>
      </c>
      <c r="H1045" t="s">
        <v>2974</v>
      </c>
      <c r="I1045">
        <v>1206726</v>
      </c>
      <c r="J1045" t="s">
        <v>3263</v>
      </c>
      <c r="K1045" t="s">
        <v>2946</v>
      </c>
    </row>
    <row r="1046" spans="1:11" x14ac:dyDescent="0.3">
      <c r="A1046" t="s">
        <v>4447</v>
      </c>
      <c r="B1046" t="s">
        <v>2009</v>
      </c>
      <c r="C1046" t="s">
        <v>4347</v>
      </c>
      <c r="D1046" t="s">
        <v>4111</v>
      </c>
      <c r="E1046" t="s">
        <v>2876</v>
      </c>
      <c r="F1046" s="1" t="str">
        <f>HYPERLINK("http://ovidsp.ovid.com/ovidweb.cgi?T=JS&amp;NEWS=n&amp;CSC=Y&amp;PAGE=booktext&amp;D=books&amp;AN=01223039$&amp;XPATH=/PG(0)&amp;EPUB=Y","http://ovidsp.ovid.com/ovidweb.cgi?T=JS&amp;NEWS=n&amp;CSC=Y&amp;PAGE=booktext&amp;D=books&amp;AN=01223039$&amp;XPATH=/PG(0)&amp;EPUB=Y")</f>
        <v>http://ovidsp.ovid.com/ovidweb.cgi?T=JS&amp;NEWS=n&amp;CSC=Y&amp;PAGE=booktext&amp;D=books&amp;AN=01223039$&amp;XPATH=/PG(0)&amp;EPUB=Y</v>
      </c>
      <c r="G1046" t="s">
        <v>2139</v>
      </c>
      <c r="H1046" t="s">
        <v>2974</v>
      </c>
      <c r="I1046">
        <v>1206726</v>
      </c>
      <c r="J1046" t="s">
        <v>3263</v>
      </c>
      <c r="K1046" t="s">
        <v>1040</v>
      </c>
    </row>
    <row r="1047" spans="1:11" x14ac:dyDescent="0.3">
      <c r="A1047" t="s">
        <v>4520</v>
      </c>
      <c r="B1047" t="s">
        <v>1729</v>
      </c>
      <c r="C1047" t="s">
        <v>3359</v>
      </c>
      <c r="D1047" t="s">
        <v>4111</v>
      </c>
      <c r="E1047" t="s">
        <v>2223</v>
      </c>
      <c r="F1047" s="1" t="str">
        <f>HYPERLINK("http://ovidsp.ovid.com/ovidweb.cgi?T=JS&amp;NEWS=n&amp;CSC=Y&amp;PAGE=booktext&amp;D=books&amp;AN=01279763$&amp;XPATH=/PG(0)&amp;EPUB=Y","http://ovidsp.ovid.com/ovidweb.cgi?T=JS&amp;NEWS=n&amp;CSC=Y&amp;PAGE=booktext&amp;D=books&amp;AN=01279763$&amp;XPATH=/PG(0)&amp;EPUB=Y")</f>
        <v>http://ovidsp.ovid.com/ovidweb.cgi?T=JS&amp;NEWS=n&amp;CSC=Y&amp;PAGE=booktext&amp;D=books&amp;AN=01279763$&amp;XPATH=/PG(0)&amp;EPUB=Y</v>
      </c>
      <c r="G1047" t="s">
        <v>2139</v>
      </c>
      <c r="H1047" t="s">
        <v>2974</v>
      </c>
      <c r="I1047">
        <v>1206726</v>
      </c>
      <c r="J1047" t="s">
        <v>3263</v>
      </c>
      <c r="K1047" t="s">
        <v>1764</v>
      </c>
    </row>
    <row r="1048" spans="1:11" x14ac:dyDescent="0.3">
      <c r="A1048" t="s">
        <v>4359</v>
      </c>
      <c r="B1048" t="s">
        <v>1165</v>
      </c>
      <c r="C1048" t="s">
        <v>2509</v>
      </c>
      <c r="D1048" t="s">
        <v>4111</v>
      </c>
      <c r="E1048" t="s">
        <v>2223</v>
      </c>
      <c r="F1048" s="1" t="str">
        <f>HYPERLINK("http://ovidsp.ovid.com/ovidweb.cgi?T=JS&amp;NEWS=n&amp;CSC=Y&amp;PAGE=booktext&amp;D=books&amp;AN=01382679$&amp;XPATH=/PG(0)&amp;EPUB=Y","http://ovidsp.ovid.com/ovidweb.cgi?T=JS&amp;NEWS=n&amp;CSC=Y&amp;PAGE=booktext&amp;D=books&amp;AN=01382679$&amp;XPATH=/PG(0)&amp;EPUB=Y")</f>
        <v>http://ovidsp.ovid.com/ovidweb.cgi?T=JS&amp;NEWS=n&amp;CSC=Y&amp;PAGE=booktext&amp;D=books&amp;AN=01382679$&amp;XPATH=/PG(0)&amp;EPUB=Y</v>
      </c>
      <c r="G1048" t="s">
        <v>2139</v>
      </c>
      <c r="H1048" t="s">
        <v>2974</v>
      </c>
      <c r="I1048">
        <v>1206726</v>
      </c>
      <c r="J1048" t="s">
        <v>3263</v>
      </c>
      <c r="K1048" t="s">
        <v>3436</v>
      </c>
    </row>
    <row r="1049" spans="1:11" x14ac:dyDescent="0.3">
      <c r="A1049" t="s">
        <v>2464</v>
      </c>
      <c r="B1049" t="s">
        <v>650</v>
      </c>
      <c r="C1049" t="s">
        <v>3805</v>
      </c>
      <c r="D1049" t="s">
        <v>4111</v>
      </c>
      <c r="E1049" t="s">
        <v>2223</v>
      </c>
      <c r="F1049" s="1" t="str">
        <f>HYPERLINK("http://ovidsp.ovid.com/ovidweb.cgi?T=JS&amp;NEWS=n&amp;CSC=Y&amp;PAGE=booktext&amp;D=books&amp;AN=01382698$&amp;XPATH=/PG(0)&amp;EPUB=Y","http://ovidsp.ovid.com/ovidweb.cgi?T=JS&amp;NEWS=n&amp;CSC=Y&amp;PAGE=booktext&amp;D=books&amp;AN=01382698$&amp;XPATH=/PG(0)&amp;EPUB=Y")</f>
        <v>http://ovidsp.ovid.com/ovidweb.cgi?T=JS&amp;NEWS=n&amp;CSC=Y&amp;PAGE=booktext&amp;D=books&amp;AN=01382698$&amp;XPATH=/PG(0)&amp;EPUB=Y</v>
      </c>
      <c r="G1049" t="s">
        <v>2139</v>
      </c>
      <c r="H1049" t="s">
        <v>2974</v>
      </c>
      <c r="I1049">
        <v>1206726</v>
      </c>
      <c r="J1049" t="s">
        <v>3263</v>
      </c>
      <c r="K1049" t="s">
        <v>651</v>
      </c>
    </row>
    <row r="1050" spans="1:11" x14ac:dyDescent="0.3">
      <c r="A1050" t="s">
        <v>2109</v>
      </c>
      <c r="B1050" t="s">
        <v>4493</v>
      </c>
      <c r="C1050" t="s">
        <v>2588</v>
      </c>
      <c r="D1050" t="s">
        <v>4111</v>
      </c>
      <c r="E1050" t="s">
        <v>404</v>
      </c>
      <c r="F1050" s="1" t="str">
        <f>HYPERLINK("http://ovidsp.ovid.com/ovidweb.cgi?T=JS&amp;NEWS=n&amp;CSC=Y&amp;PAGE=booktext&amp;D=books&amp;AN=01382678$&amp;XPATH=/PG(0)&amp;EPUB=Y","http://ovidsp.ovid.com/ovidweb.cgi?T=JS&amp;NEWS=n&amp;CSC=Y&amp;PAGE=booktext&amp;D=books&amp;AN=01382678$&amp;XPATH=/PG(0)&amp;EPUB=Y")</f>
        <v>http://ovidsp.ovid.com/ovidweb.cgi?T=JS&amp;NEWS=n&amp;CSC=Y&amp;PAGE=booktext&amp;D=books&amp;AN=01382678$&amp;XPATH=/PG(0)&amp;EPUB=Y</v>
      </c>
      <c r="G1050" t="s">
        <v>2139</v>
      </c>
      <c r="H1050" t="s">
        <v>2974</v>
      </c>
      <c r="I1050">
        <v>1206726</v>
      </c>
      <c r="J1050" t="s">
        <v>3263</v>
      </c>
      <c r="K1050" t="s">
        <v>1159</v>
      </c>
    </row>
    <row r="1051" spans="1:11" x14ac:dyDescent="0.3">
      <c r="A1051" t="s">
        <v>2660</v>
      </c>
      <c r="B1051" t="s">
        <v>4177</v>
      </c>
      <c r="C1051" t="s">
        <v>4502</v>
      </c>
      <c r="D1051" t="s">
        <v>4111</v>
      </c>
      <c r="E1051" t="s">
        <v>404</v>
      </c>
      <c r="F1051" s="1" t="str">
        <f>HYPERLINK("http://ovidsp.ovid.com/ovidweb.cgi?T=JS&amp;NEWS=n&amp;CSC=Y&amp;PAGE=booktext&amp;D=books&amp;AN=01382831$&amp;XPATH=/PG(0)&amp;EPUB=Y","http://ovidsp.ovid.com/ovidweb.cgi?T=JS&amp;NEWS=n&amp;CSC=Y&amp;PAGE=booktext&amp;D=books&amp;AN=01382831$&amp;XPATH=/PG(0)&amp;EPUB=Y")</f>
        <v>http://ovidsp.ovid.com/ovidweb.cgi?T=JS&amp;NEWS=n&amp;CSC=Y&amp;PAGE=booktext&amp;D=books&amp;AN=01382831$&amp;XPATH=/PG(0)&amp;EPUB=Y</v>
      </c>
      <c r="G1051" t="s">
        <v>2139</v>
      </c>
      <c r="H1051" t="s">
        <v>2974</v>
      </c>
      <c r="I1051">
        <v>1206726</v>
      </c>
      <c r="J1051" t="s">
        <v>3263</v>
      </c>
      <c r="K1051" t="s">
        <v>3582</v>
      </c>
    </row>
    <row r="1052" spans="1:11" x14ac:dyDescent="0.3">
      <c r="A1052" t="s">
        <v>2807</v>
      </c>
      <c r="B1052" t="s">
        <v>2843</v>
      </c>
      <c r="C1052" t="s">
        <v>3333</v>
      </c>
      <c r="D1052" t="s">
        <v>4111</v>
      </c>
      <c r="E1052" t="s">
        <v>2223</v>
      </c>
      <c r="F1052" s="1" t="str">
        <f>HYPERLINK("http://ovidsp.ovid.com/ovidweb.cgi?T=JS&amp;NEWS=n&amp;CSC=Y&amp;PAGE=booktext&amp;D=books&amp;AN=01382836$&amp;XPATH=/PG(0)&amp;EPUB=Y","http://ovidsp.ovid.com/ovidweb.cgi?T=JS&amp;NEWS=n&amp;CSC=Y&amp;PAGE=booktext&amp;D=books&amp;AN=01382836$&amp;XPATH=/PG(0)&amp;EPUB=Y")</f>
        <v>http://ovidsp.ovid.com/ovidweb.cgi?T=JS&amp;NEWS=n&amp;CSC=Y&amp;PAGE=booktext&amp;D=books&amp;AN=01382836$&amp;XPATH=/PG(0)&amp;EPUB=Y</v>
      </c>
      <c r="G1052" t="s">
        <v>2139</v>
      </c>
      <c r="H1052" t="s">
        <v>2974</v>
      </c>
      <c r="I1052">
        <v>1206726</v>
      </c>
      <c r="J1052" t="s">
        <v>3263</v>
      </c>
      <c r="K1052" t="s">
        <v>4689</v>
      </c>
    </row>
    <row r="1053" spans="1:11" x14ac:dyDescent="0.3">
      <c r="A1053" t="s">
        <v>127</v>
      </c>
      <c r="B1053" t="s">
        <v>1927</v>
      </c>
      <c r="C1053" t="s">
        <v>4381</v>
      </c>
      <c r="D1053" t="s">
        <v>4111</v>
      </c>
      <c r="E1053" t="s">
        <v>1104</v>
      </c>
      <c r="F1053" s="1" t="str">
        <f>HYPERLINK("http://ovidsp.ovid.com/ovidweb.cgi?T=JS&amp;NEWS=n&amp;CSC=Y&amp;PAGE=booktext&amp;D=books&amp;AN=01436871$&amp;XPATH=/PG(0)&amp;EPUB=Y","http://ovidsp.ovid.com/ovidweb.cgi?T=JS&amp;NEWS=n&amp;CSC=Y&amp;PAGE=booktext&amp;D=books&amp;AN=01436871$&amp;XPATH=/PG(0)&amp;EPUB=Y")</f>
        <v>http://ovidsp.ovid.com/ovidweb.cgi?T=JS&amp;NEWS=n&amp;CSC=Y&amp;PAGE=booktext&amp;D=books&amp;AN=01436871$&amp;XPATH=/PG(0)&amp;EPUB=Y</v>
      </c>
      <c r="G1053" t="s">
        <v>2139</v>
      </c>
      <c r="H1053" t="s">
        <v>2974</v>
      </c>
      <c r="I1053">
        <v>1206726</v>
      </c>
      <c r="J1053" t="s">
        <v>3263</v>
      </c>
      <c r="K1053" t="s">
        <v>3247</v>
      </c>
    </row>
    <row r="1054" spans="1:11" x14ac:dyDescent="0.3">
      <c r="A1054" t="s">
        <v>2372</v>
      </c>
      <c r="B1054" t="s">
        <v>2981</v>
      </c>
      <c r="C1054" t="s">
        <v>749</v>
      </c>
      <c r="D1054" t="s">
        <v>4111</v>
      </c>
      <c r="E1054" t="s">
        <v>2223</v>
      </c>
      <c r="F1054" s="1" t="str">
        <f>HYPERLINK("http://ovidsp.ovid.com/ovidweb.cgi?T=JS&amp;NEWS=n&amp;CSC=Y&amp;PAGE=booktext&amp;D=books&amp;AN=01382795$&amp;XPATH=/PG(0)&amp;EPUB=Y","http://ovidsp.ovid.com/ovidweb.cgi?T=JS&amp;NEWS=n&amp;CSC=Y&amp;PAGE=booktext&amp;D=books&amp;AN=01382795$&amp;XPATH=/PG(0)&amp;EPUB=Y")</f>
        <v>http://ovidsp.ovid.com/ovidweb.cgi?T=JS&amp;NEWS=n&amp;CSC=Y&amp;PAGE=booktext&amp;D=books&amp;AN=01382795$&amp;XPATH=/PG(0)&amp;EPUB=Y</v>
      </c>
      <c r="G1054" t="s">
        <v>2139</v>
      </c>
      <c r="H1054" t="s">
        <v>2974</v>
      </c>
      <c r="I1054">
        <v>1206726</v>
      </c>
      <c r="J1054" t="s">
        <v>3263</v>
      </c>
      <c r="K1054" t="s">
        <v>1239</v>
      </c>
    </row>
    <row r="1055" spans="1:11" x14ac:dyDescent="0.3">
      <c r="A1055" t="s">
        <v>265</v>
      </c>
      <c r="B1055" t="s">
        <v>3969</v>
      </c>
      <c r="C1055" t="s">
        <v>429</v>
      </c>
      <c r="D1055" t="s">
        <v>4111</v>
      </c>
      <c r="E1055" t="s">
        <v>404</v>
      </c>
      <c r="F1055" s="1" t="str">
        <f>HYPERLINK("http://ovidsp.ovid.com/ovidweb.cgi?T=JS&amp;NEWS=n&amp;CSC=Y&amp;PAGE=booktext&amp;D=books&amp;AN=01382793$&amp;XPATH=/PG(0)&amp;EPUB=Y","http://ovidsp.ovid.com/ovidweb.cgi?T=JS&amp;NEWS=n&amp;CSC=Y&amp;PAGE=booktext&amp;D=books&amp;AN=01382793$&amp;XPATH=/PG(0)&amp;EPUB=Y")</f>
        <v>http://ovidsp.ovid.com/ovidweb.cgi?T=JS&amp;NEWS=n&amp;CSC=Y&amp;PAGE=booktext&amp;D=books&amp;AN=01382793$&amp;XPATH=/PG(0)&amp;EPUB=Y</v>
      </c>
      <c r="G1055" t="s">
        <v>2139</v>
      </c>
      <c r="H1055" t="s">
        <v>2974</v>
      </c>
      <c r="I1055">
        <v>1206726</v>
      </c>
      <c r="J1055" t="s">
        <v>3263</v>
      </c>
      <c r="K1055" t="s">
        <v>3660</v>
      </c>
    </row>
    <row r="1056" spans="1:11" x14ac:dyDescent="0.3">
      <c r="A1056" t="s">
        <v>2472</v>
      </c>
      <c r="B1056" t="s">
        <v>119</v>
      </c>
      <c r="C1056" t="s">
        <v>3776</v>
      </c>
      <c r="D1056" t="s">
        <v>4111</v>
      </c>
      <c r="E1056" t="s">
        <v>2223</v>
      </c>
      <c r="F1056" s="1" t="str">
        <f>HYPERLINK("http://ovidsp.ovid.com/ovidweb.cgi?T=JS&amp;NEWS=n&amp;CSC=Y&amp;PAGE=booktext&amp;D=books&amp;AN=01382502$&amp;XPATH=/PG(0)&amp;EPUB=Y","http://ovidsp.ovid.com/ovidweb.cgi?T=JS&amp;NEWS=n&amp;CSC=Y&amp;PAGE=booktext&amp;D=books&amp;AN=01382502$&amp;XPATH=/PG(0)&amp;EPUB=Y")</f>
        <v>http://ovidsp.ovid.com/ovidweb.cgi?T=JS&amp;NEWS=n&amp;CSC=Y&amp;PAGE=booktext&amp;D=books&amp;AN=01382502$&amp;XPATH=/PG(0)&amp;EPUB=Y</v>
      </c>
      <c r="G1056" t="s">
        <v>2139</v>
      </c>
      <c r="H1056" t="s">
        <v>2974</v>
      </c>
      <c r="I1056">
        <v>1206726</v>
      </c>
      <c r="J1056" t="s">
        <v>3263</v>
      </c>
      <c r="K1056" t="s">
        <v>3373</v>
      </c>
    </row>
    <row r="1057" spans="1:11" x14ac:dyDescent="0.3">
      <c r="A1057" t="s">
        <v>3570</v>
      </c>
      <c r="B1057" t="s">
        <v>1220</v>
      </c>
      <c r="C1057" t="s">
        <v>4263</v>
      </c>
      <c r="D1057" t="s">
        <v>4111</v>
      </c>
      <c r="E1057" t="s">
        <v>404</v>
      </c>
      <c r="F1057" s="1" t="str">
        <f>HYPERLINK("http://ovidsp.ovid.com/ovidweb.cgi?T=JS&amp;NEWS=n&amp;CSC=Y&amp;PAGE=booktext&amp;D=books&amp;AN=01382794$&amp;XPATH=/PG(0)&amp;EPUB=Y","http://ovidsp.ovid.com/ovidweb.cgi?T=JS&amp;NEWS=n&amp;CSC=Y&amp;PAGE=booktext&amp;D=books&amp;AN=01382794$&amp;XPATH=/PG(0)&amp;EPUB=Y")</f>
        <v>http://ovidsp.ovid.com/ovidweb.cgi?T=JS&amp;NEWS=n&amp;CSC=Y&amp;PAGE=booktext&amp;D=books&amp;AN=01382794$&amp;XPATH=/PG(0)&amp;EPUB=Y</v>
      </c>
      <c r="G1057" t="s">
        <v>2139</v>
      </c>
      <c r="H1057" t="s">
        <v>2974</v>
      </c>
      <c r="I1057">
        <v>1206726</v>
      </c>
      <c r="J1057" t="s">
        <v>3263</v>
      </c>
      <c r="K1057" t="s">
        <v>1266</v>
      </c>
    </row>
    <row r="1058" spans="1:11" x14ac:dyDescent="0.3">
      <c r="A1058" t="s">
        <v>3643</v>
      </c>
      <c r="B1058" t="s">
        <v>857</v>
      </c>
      <c r="C1058" t="s">
        <v>1476</v>
      </c>
      <c r="D1058" t="s">
        <v>4111</v>
      </c>
      <c r="E1058" t="s">
        <v>3051</v>
      </c>
      <c r="F1058" s="1" t="str">
        <f>HYPERLINK("http://ovidsp.ovid.com/ovidweb.cgi?T=JS&amp;NEWS=n&amp;CSC=Y&amp;PAGE=booktext&amp;D=books&amp;AN=01382496$&amp;XPATH=/PG(0)&amp;EPUB=Y","http://ovidsp.ovid.com/ovidweb.cgi?T=JS&amp;NEWS=n&amp;CSC=Y&amp;PAGE=booktext&amp;D=books&amp;AN=01382496$&amp;XPATH=/PG(0)&amp;EPUB=Y")</f>
        <v>http://ovidsp.ovid.com/ovidweb.cgi?T=JS&amp;NEWS=n&amp;CSC=Y&amp;PAGE=booktext&amp;D=books&amp;AN=01382496$&amp;XPATH=/PG(0)&amp;EPUB=Y</v>
      </c>
      <c r="G1058" t="s">
        <v>2139</v>
      </c>
      <c r="H1058" t="s">
        <v>2974</v>
      </c>
      <c r="I1058">
        <v>1206726</v>
      </c>
      <c r="J1058" t="s">
        <v>3263</v>
      </c>
      <c r="K1058" t="s">
        <v>555</v>
      </c>
    </row>
    <row r="1059" spans="1:11" x14ac:dyDescent="0.3">
      <c r="A1059" t="s">
        <v>139</v>
      </c>
      <c r="B1059" t="s">
        <v>4665</v>
      </c>
      <c r="C1059" t="s">
        <v>4191</v>
      </c>
      <c r="D1059" t="s">
        <v>4111</v>
      </c>
      <c r="E1059" t="s">
        <v>2223</v>
      </c>
      <c r="F1059" s="1" t="str">
        <f>HYPERLINK("http://ovidsp.ovid.com/ovidweb.cgi?T=JS&amp;NEWS=n&amp;CSC=Y&amp;PAGE=booktext&amp;D=books&amp;AN=01382681$&amp;XPATH=/PG(0)&amp;EPUB=Y","http://ovidsp.ovid.com/ovidweb.cgi?T=JS&amp;NEWS=n&amp;CSC=Y&amp;PAGE=booktext&amp;D=books&amp;AN=01382681$&amp;XPATH=/PG(0)&amp;EPUB=Y")</f>
        <v>http://ovidsp.ovid.com/ovidweb.cgi?T=JS&amp;NEWS=n&amp;CSC=Y&amp;PAGE=booktext&amp;D=books&amp;AN=01382681$&amp;XPATH=/PG(0)&amp;EPUB=Y</v>
      </c>
      <c r="G1059" t="s">
        <v>2139</v>
      </c>
      <c r="H1059" t="s">
        <v>2974</v>
      </c>
      <c r="I1059">
        <v>1206726</v>
      </c>
      <c r="J1059" t="s">
        <v>3263</v>
      </c>
      <c r="K1059" t="s">
        <v>2878</v>
      </c>
    </row>
    <row r="1060" spans="1:11" x14ac:dyDescent="0.3">
      <c r="A1060" t="s">
        <v>1875</v>
      </c>
      <c r="B1060" t="s">
        <v>280</v>
      </c>
      <c r="C1060" t="s">
        <v>3254</v>
      </c>
      <c r="D1060" t="s">
        <v>4111</v>
      </c>
      <c r="E1060" t="s">
        <v>2223</v>
      </c>
      <c r="F1060" s="1" t="str">
        <f>HYPERLINK("http://ovidsp.ovid.com/ovidweb.cgi?T=JS&amp;NEWS=n&amp;CSC=Y&amp;PAGE=booktext&amp;D=books&amp;AN=01382559$&amp;XPATH=/PG(0)&amp;EPUB=Y","http://ovidsp.ovid.com/ovidweb.cgi?T=JS&amp;NEWS=n&amp;CSC=Y&amp;PAGE=booktext&amp;D=books&amp;AN=01382559$&amp;XPATH=/PG(0)&amp;EPUB=Y")</f>
        <v>http://ovidsp.ovid.com/ovidweb.cgi?T=JS&amp;NEWS=n&amp;CSC=Y&amp;PAGE=booktext&amp;D=books&amp;AN=01382559$&amp;XPATH=/PG(0)&amp;EPUB=Y</v>
      </c>
      <c r="G1060" t="s">
        <v>2139</v>
      </c>
      <c r="H1060" t="s">
        <v>2974</v>
      </c>
      <c r="I1060">
        <v>1206726</v>
      </c>
      <c r="J1060" t="s">
        <v>3263</v>
      </c>
      <c r="K1060" t="s">
        <v>4519</v>
      </c>
    </row>
    <row r="1061" spans="1:11" x14ac:dyDescent="0.3">
      <c r="A1061" t="s">
        <v>521</v>
      </c>
      <c r="B1061" t="s">
        <v>3440</v>
      </c>
      <c r="C1061" t="s">
        <v>3818</v>
      </c>
      <c r="D1061" t="s">
        <v>4111</v>
      </c>
      <c r="E1061" t="s">
        <v>404</v>
      </c>
      <c r="F1061" s="1" t="str">
        <f>HYPERLINK("http://ovidsp.ovid.com/ovidweb.cgi?T=JS&amp;NEWS=n&amp;CSC=Y&amp;PAGE=booktext&amp;D=books&amp;AN=00140008$&amp;XPATH=/PG(0)&amp;EPUB=Y","http://ovidsp.ovid.com/ovidweb.cgi?T=JS&amp;NEWS=n&amp;CSC=Y&amp;PAGE=booktext&amp;D=books&amp;AN=00140008$&amp;XPATH=/PG(0)&amp;EPUB=Y")</f>
        <v>http://ovidsp.ovid.com/ovidweb.cgi?T=JS&amp;NEWS=n&amp;CSC=Y&amp;PAGE=booktext&amp;D=books&amp;AN=00140008$&amp;XPATH=/PG(0)&amp;EPUB=Y</v>
      </c>
      <c r="G1061" t="s">
        <v>2139</v>
      </c>
      <c r="H1061" t="s">
        <v>2974</v>
      </c>
      <c r="I1061">
        <v>1206726</v>
      </c>
      <c r="J1061" t="s">
        <v>3263</v>
      </c>
      <c r="K1061" t="s">
        <v>4360</v>
      </c>
    </row>
    <row r="1062" spans="1:11" x14ac:dyDescent="0.3">
      <c r="A1062" t="s">
        <v>3897</v>
      </c>
      <c r="B1062" t="s">
        <v>2038</v>
      </c>
      <c r="C1062" t="s">
        <v>173</v>
      </c>
      <c r="D1062" t="s">
        <v>4111</v>
      </c>
      <c r="E1062" t="s">
        <v>2223</v>
      </c>
      <c r="F1062" s="1" t="str">
        <f>HYPERLINK("http://ovidsp.ovid.com/ovidweb.cgi?T=JS&amp;NEWS=n&amp;CSC=Y&amp;PAGE=booktext&amp;D=books&amp;AN=01382631$&amp;XPATH=/PG(0)&amp;EPUB=Y","http://ovidsp.ovid.com/ovidweb.cgi?T=JS&amp;NEWS=n&amp;CSC=Y&amp;PAGE=booktext&amp;D=books&amp;AN=01382631$&amp;XPATH=/PG(0)&amp;EPUB=Y")</f>
        <v>http://ovidsp.ovid.com/ovidweb.cgi?T=JS&amp;NEWS=n&amp;CSC=Y&amp;PAGE=booktext&amp;D=books&amp;AN=01382631$&amp;XPATH=/PG(0)&amp;EPUB=Y</v>
      </c>
      <c r="G1062" t="s">
        <v>2139</v>
      </c>
      <c r="H1062" t="s">
        <v>2974</v>
      </c>
      <c r="I1062">
        <v>1206726</v>
      </c>
      <c r="J1062" t="s">
        <v>3263</v>
      </c>
      <c r="K1062" t="s">
        <v>4081</v>
      </c>
    </row>
    <row r="1063" spans="1:11" x14ac:dyDescent="0.3">
      <c r="A1063" t="s">
        <v>2133</v>
      </c>
      <c r="B1063" t="s">
        <v>989</v>
      </c>
      <c r="C1063" t="s">
        <v>4497</v>
      </c>
      <c r="D1063" t="s">
        <v>4111</v>
      </c>
      <c r="E1063" t="s">
        <v>2223</v>
      </c>
      <c r="F1063" s="1" t="str">
        <f>HYPERLINK("http://ovidsp.ovid.com/ovidweb.cgi?T=JS&amp;NEWS=n&amp;CSC=Y&amp;PAGE=booktext&amp;D=books&amp;AN=01436969$&amp;XPATH=/PG(0)&amp;EPUB=Y","http://ovidsp.ovid.com/ovidweb.cgi?T=JS&amp;NEWS=n&amp;CSC=Y&amp;PAGE=booktext&amp;D=books&amp;AN=01436969$&amp;XPATH=/PG(0)&amp;EPUB=Y")</f>
        <v>http://ovidsp.ovid.com/ovidweb.cgi?T=JS&amp;NEWS=n&amp;CSC=Y&amp;PAGE=booktext&amp;D=books&amp;AN=01436969$&amp;XPATH=/PG(0)&amp;EPUB=Y</v>
      </c>
      <c r="G1063" t="s">
        <v>2139</v>
      </c>
      <c r="H1063" t="s">
        <v>2974</v>
      </c>
      <c r="I1063">
        <v>1206726</v>
      </c>
      <c r="J1063" t="s">
        <v>3263</v>
      </c>
      <c r="K1063" t="s">
        <v>2317</v>
      </c>
    </row>
    <row r="1064" spans="1:11" x14ac:dyDescent="0.3">
      <c r="A1064" t="s">
        <v>4610</v>
      </c>
      <c r="B1064" t="s">
        <v>3088</v>
      </c>
      <c r="C1064" t="s">
        <v>3054</v>
      </c>
      <c r="D1064" t="s">
        <v>4111</v>
      </c>
      <c r="E1064" t="s">
        <v>3051</v>
      </c>
      <c r="F1064" s="1" t="str">
        <f>HYPERLINK("http://ovidsp.ovid.com/ovidweb.cgi?T=JS&amp;NEWS=n&amp;CSC=Y&amp;PAGE=booktext&amp;D=books&amp;AN=01382790$&amp;XPATH=/PG(0)&amp;EPUB=Y","http://ovidsp.ovid.com/ovidweb.cgi?T=JS&amp;NEWS=n&amp;CSC=Y&amp;PAGE=booktext&amp;D=books&amp;AN=01382790$&amp;XPATH=/PG(0)&amp;EPUB=Y")</f>
        <v>http://ovidsp.ovid.com/ovidweb.cgi?T=JS&amp;NEWS=n&amp;CSC=Y&amp;PAGE=booktext&amp;D=books&amp;AN=01382790$&amp;XPATH=/PG(0)&amp;EPUB=Y</v>
      </c>
      <c r="G1064" t="s">
        <v>2139</v>
      </c>
      <c r="H1064" t="s">
        <v>2974</v>
      </c>
      <c r="I1064">
        <v>1206726</v>
      </c>
      <c r="J1064" t="s">
        <v>3263</v>
      </c>
      <c r="K1064" t="s">
        <v>4284</v>
      </c>
    </row>
    <row r="1065" spans="1:11" x14ac:dyDescent="0.3">
      <c r="A1065" t="s">
        <v>1571</v>
      </c>
      <c r="B1065" t="s">
        <v>3451</v>
      </c>
      <c r="C1065" t="s">
        <v>937</v>
      </c>
      <c r="D1065" t="s">
        <v>4111</v>
      </c>
      <c r="E1065" t="s">
        <v>3051</v>
      </c>
      <c r="F1065" s="1" t="str">
        <f>HYPERLINK("http://ovidsp.ovid.com/ovidweb.cgi?T=JS&amp;NEWS=n&amp;CSC=Y&amp;PAGE=booktext&amp;D=books&amp;AN=01382791$&amp;XPATH=/PG(0)&amp;EPUB=Y","http://ovidsp.ovid.com/ovidweb.cgi?T=JS&amp;NEWS=n&amp;CSC=Y&amp;PAGE=booktext&amp;D=books&amp;AN=01382791$&amp;XPATH=/PG(0)&amp;EPUB=Y")</f>
        <v>http://ovidsp.ovid.com/ovidweb.cgi?T=JS&amp;NEWS=n&amp;CSC=Y&amp;PAGE=booktext&amp;D=books&amp;AN=01382791$&amp;XPATH=/PG(0)&amp;EPUB=Y</v>
      </c>
      <c r="G1065" t="s">
        <v>2139</v>
      </c>
      <c r="H1065" t="s">
        <v>2974</v>
      </c>
      <c r="I1065">
        <v>1206726</v>
      </c>
      <c r="J1065" t="s">
        <v>3263</v>
      </c>
      <c r="K1065" t="s">
        <v>4142</v>
      </c>
    </row>
    <row r="1066" spans="1:11" x14ac:dyDescent="0.3">
      <c r="A1066" t="s">
        <v>1136</v>
      </c>
      <c r="B1066" t="s">
        <v>4050</v>
      </c>
      <c r="C1066" t="s">
        <v>4553</v>
      </c>
      <c r="D1066" t="s">
        <v>4111</v>
      </c>
      <c r="E1066" t="s">
        <v>1104</v>
      </c>
      <c r="F1066" s="1" t="str">
        <f>HYPERLINK("http://ovidsp.ovid.com/ovidweb.cgi?T=JS&amp;NEWS=n&amp;CSC=Y&amp;PAGE=booktext&amp;D=books&amp;AN=01382505$&amp;XPATH=/PG(0)&amp;EPUB=Y","http://ovidsp.ovid.com/ovidweb.cgi?T=JS&amp;NEWS=n&amp;CSC=Y&amp;PAGE=booktext&amp;D=books&amp;AN=01382505$&amp;XPATH=/PG(0)&amp;EPUB=Y")</f>
        <v>http://ovidsp.ovid.com/ovidweb.cgi?T=JS&amp;NEWS=n&amp;CSC=Y&amp;PAGE=booktext&amp;D=books&amp;AN=01382505$&amp;XPATH=/PG(0)&amp;EPUB=Y</v>
      </c>
      <c r="G1066" t="s">
        <v>2139</v>
      </c>
      <c r="H1066" t="s">
        <v>2974</v>
      </c>
      <c r="I1066">
        <v>1206726</v>
      </c>
      <c r="J1066" t="s">
        <v>3263</v>
      </c>
      <c r="K1066" t="s">
        <v>475</v>
      </c>
    </row>
    <row r="1067" spans="1:11" x14ac:dyDescent="0.3">
      <c r="A1067" t="s">
        <v>4392</v>
      </c>
      <c r="B1067" t="s">
        <v>2560</v>
      </c>
      <c r="C1067" t="s">
        <v>4379</v>
      </c>
      <c r="D1067" t="s">
        <v>4111</v>
      </c>
      <c r="E1067" t="s">
        <v>2223</v>
      </c>
      <c r="F1067" s="1" t="str">
        <f>HYPERLINK("http://ovidsp.ovid.com/ovidweb.cgi?T=JS&amp;NEWS=n&amp;CSC=Y&amp;PAGE=booktext&amp;D=books&amp;AN=01382641$&amp;XPATH=/PG(0)&amp;EPUB=Y","http://ovidsp.ovid.com/ovidweb.cgi?T=JS&amp;NEWS=n&amp;CSC=Y&amp;PAGE=booktext&amp;D=books&amp;AN=01382641$&amp;XPATH=/PG(0)&amp;EPUB=Y")</f>
        <v>http://ovidsp.ovid.com/ovidweb.cgi?T=JS&amp;NEWS=n&amp;CSC=Y&amp;PAGE=booktext&amp;D=books&amp;AN=01382641$&amp;XPATH=/PG(0)&amp;EPUB=Y</v>
      </c>
      <c r="G1067" t="s">
        <v>2139</v>
      </c>
      <c r="H1067" t="s">
        <v>2974</v>
      </c>
      <c r="I1067">
        <v>1206726</v>
      </c>
      <c r="J1067" t="s">
        <v>3263</v>
      </c>
      <c r="K1067" t="s">
        <v>4107</v>
      </c>
    </row>
    <row r="1068" spans="1:11" x14ac:dyDescent="0.3">
      <c r="A1068" t="s">
        <v>2696</v>
      </c>
      <c r="B1068" t="s">
        <v>2385</v>
      </c>
      <c r="C1068" t="s">
        <v>1751</v>
      </c>
      <c r="D1068" t="s">
        <v>4111</v>
      </c>
      <c r="E1068" t="s">
        <v>2223</v>
      </c>
      <c r="F1068" s="1" t="str">
        <f>HYPERLINK("http://ovidsp.ovid.com/ovidweb.cgi?T=JS&amp;NEWS=n&amp;CSC=Y&amp;PAGE=booktext&amp;D=books&amp;AN=01382542$&amp;XPATH=/PG(0)&amp;EPUB=Y","http://ovidsp.ovid.com/ovidweb.cgi?T=JS&amp;NEWS=n&amp;CSC=Y&amp;PAGE=booktext&amp;D=books&amp;AN=01382542$&amp;XPATH=/PG(0)&amp;EPUB=Y")</f>
        <v>http://ovidsp.ovid.com/ovidweb.cgi?T=JS&amp;NEWS=n&amp;CSC=Y&amp;PAGE=booktext&amp;D=books&amp;AN=01382542$&amp;XPATH=/PG(0)&amp;EPUB=Y</v>
      </c>
      <c r="G1068" t="s">
        <v>2139</v>
      </c>
      <c r="H1068" t="s">
        <v>2974</v>
      </c>
      <c r="I1068">
        <v>1206726</v>
      </c>
      <c r="J1068" t="s">
        <v>3263</v>
      </c>
      <c r="K1068" t="s">
        <v>208</v>
      </c>
    </row>
    <row r="1069" spans="1:11" x14ac:dyDescent="0.3">
      <c r="A1069" t="s">
        <v>3331</v>
      </c>
      <c r="B1069" t="s">
        <v>2134</v>
      </c>
      <c r="C1069" t="s">
        <v>3498</v>
      </c>
      <c r="D1069" t="s">
        <v>4111</v>
      </c>
      <c r="E1069" t="s">
        <v>2876</v>
      </c>
      <c r="F1069" s="1" t="str">
        <f>HYPERLINK("http://ovidsp.ovid.com/ovidweb.cgi?T=JS&amp;NEWS=n&amp;CSC=Y&amp;PAGE=booktext&amp;D=books&amp;AN=01412556$&amp;XPATH=/PG(0)&amp;EPUB=Y","http://ovidsp.ovid.com/ovidweb.cgi?T=JS&amp;NEWS=n&amp;CSC=Y&amp;PAGE=booktext&amp;D=books&amp;AN=01412556$&amp;XPATH=/PG(0)&amp;EPUB=Y")</f>
        <v>http://ovidsp.ovid.com/ovidweb.cgi?T=JS&amp;NEWS=n&amp;CSC=Y&amp;PAGE=booktext&amp;D=books&amp;AN=01412556$&amp;XPATH=/PG(0)&amp;EPUB=Y</v>
      </c>
      <c r="G1069" t="s">
        <v>2139</v>
      </c>
      <c r="H1069" t="s">
        <v>2974</v>
      </c>
      <c r="I1069">
        <v>1206726</v>
      </c>
      <c r="J1069" t="s">
        <v>3263</v>
      </c>
      <c r="K1069" t="s">
        <v>250</v>
      </c>
    </row>
    <row r="1070" spans="1:11" x14ac:dyDescent="0.3">
      <c r="A1070" t="s">
        <v>4531</v>
      </c>
      <c r="B1070" t="s">
        <v>1639</v>
      </c>
      <c r="C1070" t="s">
        <v>3421</v>
      </c>
      <c r="D1070" t="s">
        <v>4111</v>
      </c>
      <c r="E1070" t="s">
        <v>2223</v>
      </c>
      <c r="F1070" s="1" t="str">
        <f>HYPERLINK("http://ovidsp.ovid.com/ovidweb.cgi?T=JS&amp;NEWS=n&amp;CSC=Y&amp;PAGE=booktext&amp;D=books&amp;AN=01382525$&amp;XPATH=/PG(0)&amp;EPUB=Y","http://ovidsp.ovid.com/ovidweb.cgi?T=JS&amp;NEWS=n&amp;CSC=Y&amp;PAGE=booktext&amp;D=books&amp;AN=01382525$&amp;XPATH=/PG(0)&amp;EPUB=Y")</f>
        <v>http://ovidsp.ovid.com/ovidweb.cgi?T=JS&amp;NEWS=n&amp;CSC=Y&amp;PAGE=booktext&amp;D=books&amp;AN=01382525$&amp;XPATH=/PG(0)&amp;EPUB=Y</v>
      </c>
      <c r="G1070" t="s">
        <v>2139</v>
      </c>
      <c r="H1070" t="s">
        <v>2974</v>
      </c>
      <c r="I1070">
        <v>1206726</v>
      </c>
      <c r="J1070" t="s">
        <v>3263</v>
      </c>
      <c r="K1070" t="s">
        <v>2698</v>
      </c>
    </row>
    <row r="1071" spans="1:11" x14ac:dyDescent="0.3">
      <c r="A1071" t="s">
        <v>2063</v>
      </c>
      <c r="B1071" t="s">
        <v>2296</v>
      </c>
      <c r="C1071" t="s">
        <v>2465</v>
      </c>
      <c r="D1071" t="s">
        <v>4111</v>
      </c>
      <c r="E1071" t="s">
        <v>1104</v>
      </c>
      <c r="F1071" s="1" t="str">
        <f>HYPERLINK("http://ovidsp.ovid.com/ovidweb.cgi?T=JS&amp;NEWS=n&amp;CSC=Y&amp;PAGE=booktext&amp;D=books&amp;AN=01437558$&amp;XPATH=/PG(0)&amp;EPUB=Y","http://ovidsp.ovid.com/ovidweb.cgi?T=JS&amp;NEWS=n&amp;CSC=Y&amp;PAGE=booktext&amp;D=books&amp;AN=01437558$&amp;XPATH=/PG(0)&amp;EPUB=Y")</f>
        <v>http://ovidsp.ovid.com/ovidweb.cgi?T=JS&amp;NEWS=n&amp;CSC=Y&amp;PAGE=booktext&amp;D=books&amp;AN=01437558$&amp;XPATH=/PG(0)&amp;EPUB=Y</v>
      </c>
      <c r="G1071" t="s">
        <v>2139</v>
      </c>
      <c r="H1071" t="s">
        <v>2974</v>
      </c>
      <c r="I1071">
        <v>1206726</v>
      </c>
      <c r="J1071" t="s">
        <v>3263</v>
      </c>
      <c r="K1071" t="s">
        <v>1581</v>
      </c>
    </row>
    <row r="1072" spans="1:11" x14ac:dyDescent="0.3">
      <c r="A1072" t="s">
        <v>1850</v>
      </c>
      <c r="B1072" t="s">
        <v>3499</v>
      </c>
      <c r="C1072" t="s">
        <v>1859</v>
      </c>
      <c r="D1072" t="s">
        <v>4111</v>
      </c>
      <c r="E1072" t="s">
        <v>2223</v>
      </c>
      <c r="F1072" s="1" t="str">
        <f>HYPERLINK("http://ovidsp.ovid.com/ovidweb.cgi?T=JS&amp;NEWS=n&amp;CSC=Y&amp;PAGE=booktext&amp;D=books&amp;AN=01382786$&amp;XPATH=/PG(0)&amp;EPUB=Y","http://ovidsp.ovid.com/ovidweb.cgi?T=JS&amp;NEWS=n&amp;CSC=Y&amp;PAGE=booktext&amp;D=books&amp;AN=01382786$&amp;XPATH=/PG(0)&amp;EPUB=Y")</f>
        <v>http://ovidsp.ovid.com/ovidweb.cgi?T=JS&amp;NEWS=n&amp;CSC=Y&amp;PAGE=booktext&amp;D=books&amp;AN=01382786$&amp;XPATH=/PG(0)&amp;EPUB=Y</v>
      </c>
      <c r="G1072" t="s">
        <v>2139</v>
      </c>
      <c r="H1072" t="s">
        <v>2974</v>
      </c>
      <c r="I1072">
        <v>1206726</v>
      </c>
      <c r="J1072" t="s">
        <v>3263</v>
      </c>
      <c r="K1072" t="s">
        <v>19</v>
      </c>
    </row>
    <row r="1073" spans="1:11" x14ac:dyDescent="0.3">
      <c r="A1073" t="s">
        <v>992</v>
      </c>
      <c r="B1073" t="s">
        <v>4467</v>
      </c>
      <c r="C1073" t="s">
        <v>4668</v>
      </c>
      <c r="D1073" t="s">
        <v>4111</v>
      </c>
      <c r="E1073" t="s">
        <v>2223</v>
      </c>
      <c r="F1073" s="1" t="str">
        <f>HYPERLINK("http://ovidsp.ovid.com/ovidweb.cgi?T=JS&amp;NEWS=n&amp;CSC=Y&amp;PAGE=booktext&amp;D=books&amp;AN=01382787$&amp;XPATH=/PG(0)&amp;EPUB=Y","http://ovidsp.ovid.com/ovidweb.cgi?T=JS&amp;NEWS=n&amp;CSC=Y&amp;PAGE=booktext&amp;D=books&amp;AN=01382787$&amp;XPATH=/PG(0)&amp;EPUB=Y")</f>
        <v>http://ovidsp.ovid.com/ovidweb.cgi?T=JS&amp;NEWS=n&amp;CSC=Y&amp;PAGE=booktext&amp;D=books&amp;AN=01382787$&amp;XPATH=/PG(0)&amp;EPUB=Y</v>
      </c>
      <c r="G1073" t="s">
        <v>2139</v>
      </c>
      <c r="H1073" t="s">
        <v>2974</v>
      </c>
      <c r="I1073">
        <v>1206726</v>
      </c>
      <c r="J1073" t="s">
        <v>3263</v>
      </c>
      <c r="K1073" t="s">
        <v>4600</v>
      </c>
    </row>
    <row r="1074" spans="1:11" x14ac:dyDescent="0.3">
      <c r="A1074" t="s">
        <v>3604</v>
      </c>
      <c r="B1074" t="s">
        <v>3335</v>
      </c>
      <c r="C1074" t="s">
        <v>1349</v>
      </c>
      <c r="D1074" t="s">
        <v>4111</v>
      </c>
      <c r="E1074" t="s">
        <v>404</v>
      </c>
      <c r="F1074" s="1" t="str">
        <f>HYPERLINK("http://ovidsp.ovid.com/ovidweb.cgi?T=JS&amp;NEWS=n&amp;CSC=Y&amp;PAGE=booktext&amp;D=books&amp;AN=01382745$&amp;XPATH=/PG(0)&amp;EPUB=Y","http://ovidsp.ovid.com/ovidweb.cgi?T=JS&amp;NEWS=n&amp;CSC=Y&amp;PAGE=booktext&amp;D=books&amp;AN=01382745$&amp;XPATH=/PG(0)&amp;EPUB=Y")</f>
        <v>http://ovidsp.ovid.com/ovidweb.cgi?T=JS&amp;NEWS=n&amp;CSC=Y&amp;PAGE=booktext&amp;D=books&amp;AN=01382745$&amp;XPATH=/PG(0)&amp;EPUB=Y</v>
      </c>
      <c r="G1074" t="s">
        <v>2139</v>
      </c>
      <c r="H1074" t="s">
        <v>2974</v>
      </c>
      <c r="I1074">
        <v>1206726</v>
      </c>
      <c r="J1074" t="s">
        <v>3263</v>
      </c>
      <c r="K1074" t="s">
        <v>894</v>
      </c>
    </row>
    <row r="1075" spans="1:11" x14ac:dyDescent="0.3">
      <c r="A1075" t="s">
        <v>4115</v>
      </c>
      <c r="B1075" t="s">
        <v>1860</v>
      </c>
      <c r="C1075" t="s">
        <v>3532</v>
      </c>
      <c r="D1075" t="s">
        <v>4111</v>
      </c>
      <c r="E1075" t="s">
        <v>404</v>
      </c>
      <c r="F1075" s="1" t="str">
        <f>HYPERLINK("http://ovidsp.ovid.com/ovidweb.cgi?T=JS&amp;NEWS=n&amp;CSC=Y&amp;PAGE=booktext&amp;D=books&amp;AN=01382744$&amp;XPATH=/PG(0)&amp;EPUB=Y","http://ovidsp.ovid.com/ovidweb.cgi?T=JS&amp;NEWS=n&amp;CSC=Y&amp;PAGE=booktext&amp;D=books&amp;AN=01382744$&amp;XPATH=/PG(0)&amp;EPUB=Y")</f>
        <v>http://ovidsp.ovid.com/ovidweb.cgi?T=JS&amp;NEWS=n&amp;CSC=Y&amp;PAGE=booktext&amp;D=books&amp;AN=01382744$&amp;XPATH=/PG(0)&amp;EPUB=Y</v>
      </c>
      <c r="G1075" t="s">
        <v>2139</v>
      </c>
      <c r="H1075" t="s">
        <v>2974</v>
      </c>
      <c r="I1075">
        <v>1206726</v>
      </c>
      <c r="J1075" t="s">
        <v>3263</v>
      </c>
      <c r="K1075" t="s">
        <v>253</v>
      </c>
    </row>
    <row r="1076" spans="1:11" x14ac:dyDescent="0.3">
      <c r="A1076" t="s">
        <v>4051</v>
      </c>
      <c r="B1076" t="s">
        <v>4234</v>
      </c>
      <c r="C1076" t="s">
        <v>3196</v>
      </c>
      <c r="D1076" t="s">
        <v>4111</v>
      </c>
      <c r="E1076" t="s">
        <v>404</v>
      </c>
      <c r="F1076" s="1" t="str">
        <f>HYPERLINK("http://ovidsp.ovid.com/ovidweb.cgi?T=JS&amp;NEWS=n&amp;CSC=Y&amp;PAGE=booktext&amp;D=books&amp;AN=01382746$&amp;XPATH=/PG(0)&amp;EPUB=Y","http://ovidsp.ovid.com/ovidweb.cgi?T=JS&amp;NEWS=n&amp;CSC=Y&amp;PAGE=booktext&amp;D=books&amp;AN=01382746$&amp;XPATH=/PG(0)&amp;EPUB=Y")</f>
        <v>http://ovidsp.ovid.com/ovidweb.cgi?T=JS&amp;NEWS=n&amp;CSC=Y&amp;PAGE=booktext&amp;D=books&amp;AN=01382746$&amp;XPATH=/PG(0)&amp;EPUB=Y</v>
      </c>
      <c r="G1076" t="s">
        <v>2139</v>
      </c>
      <c r="H1076" t="s">
        <v>2974</v>
      </c>
      <c r="I1076">
        <v>1206726</v>
      </c>
      <c r="J1076" t="s">
        <v>3263</v>
      </c>
      <c r="K1076" t="s">
        <v>3631</v>
      </c>
    </row>
    <row r="1077" spans="1:11" x14ac:dyDescent="0.3">
      <c r="A1077" t="s">
        <v>1972</v>
      </c>
      <c r="B1077" t="s">
        <v>1701</v>
      </c>
      <c r="C1077" t="s">
        <v>1329</v>
      </c>
      <c r="D1077" t="s">
        <v>4111</v>
      </c>
      <c r="E1077" t="s">
        <v>2223</v>
      </c>
      <c r="F1077" s="1" t="str">
        <f>HYPERLINK("http://ovidsp.ovid.com/ovidweb.cgi?T=JS&amp;NEWS=n&amp;CSC=Y&amp;PAGE=booktext&amp;D=books&amp;AN=01382842$&amp;XPATH=/PG(0)&amp;EPUB=Y","http://ovidsp.ovid.com/ovidweb.cgi?T=JS&amp;NEWS=n&amp;CSC=Y&amp;PAGE=booktext&amp;D=books&amp;AN=01382842$&amp;XPATH=/PG(0)&amp;EPUB=Y")</f>
        <v>http://ovidsp.ovid.com/ovidweb.cgi?T=JS&amp;NEWS=n&amp;CSC=Y&amp;PAGE=booktext&amp;D=books&amp;AN=01382842$&amp;XPATH=/PG(0)&amp;EPUB=Y</v>
      </c>
      <c r="G1077" t="s">
        <v>2139</v>
      </c>
      <c r="H1077" t="s">
        <v>2974</v>
      </c>
      <c r="I1077">
        <v>1206726</v>
      </c>
      <c r="J1077" t="s">
        <v>3263</v>
      </c>
      <c r="K1077" t="s">
        <v>4198</v>
      </c>
    </row>
    <row r="1078" spans="1:11" x14ac:dyDescent="0.3">
      <c r="A1078" t="s">
        <v>401</v>
      </c>
      <c r="B1078" t="s">
        <v>3039</v>
      </c>
      <c r="C1078" t="s">
        <v>2958</v>
      </c>
      <c r="D1078" t="s">
        <v>4111</v>
      </c>
      <c r="E1078" t="s">
        <v>404</v>
      </c>
      <c r="F1078" s="1" t="str">
        <f>HYPERLINK("http://ovidsp.ovid.com/ovidweb.cgi?T=JS&amp;NEWS=n&amp;CSC=Y&amp;PAGE=booktext&amp;D=books&amp;AN=01382747$&amp;XPATH=/PG(0)&amp;EPUB=Y","http://ovidsp.ovid.com/ovidweb.cgi?T=JS&amp;NEWS=n&amp;CSC=Y&amp;PAGE=booktext&amp;D=books&amp;AN=01382747$&amp;XPATH=/PG(0)&amp;EPUB=Y")</f>
        <v>http://ovidsp.ovid.com/ovidweb.cgi?T=JS&amp;NEWS=n&amp;CSC=Y&amp;PAGE=booktext&amp;D=books&amp;AN=01382747$&amp;XPATH=/PG(0)&amp;EPUB=Y</v>
      </c>
      <c r="G1078" t="s">
        <v>2139</v>
      </c>
      <c r="H1078" t="s">
        <v>2974</v>
      </c>
      <c r="I1078">
        <v>1206726</v>
      </c>
      <c r="J1078" t="s">
        <v>3263</v>
      </c>
      <c r="K1078" t="s">
        <v>460</v>
      </c>
    </row>
    <row r="1079" spans="1:11" x14ac:dyDescent="0.3">
      <c r="A1079" t="s">
        <v>2953</v>
      </c>
      <c r="B1079" t="s">
        <v>4207</v>
      </c>
      <c r="C1079" t="s">
        <v>1759</v>
      </c>
      <c r="D1079" t="s">
        <v>4111</v>
      </c>
      <c r="E1079" t="s">
        <v>2223</v>
      </c>
      <c r="F1079" s="1" t="str">
        <f>HYPERLINK("http://ovidsp.ovid.com/ovidweb.cgi?T=JS&amp;NEWS=n&amp;CSC=Y&amp;PAGE=booktext&amp;D=books&amp;AN=01382844$&amp;XPATH=/PG(0)&amp;EPUB=Y","http://ovidsp.ovid.com/ovidweb.cgi?T=JS&amp;NEWS=n&amp;CSC=Y&amp;PAGE=booktext&amp;D=books&amp;AN=01382844$&amp;XPATH=/PG(0)&amp;EPUB=Y")</f>
        <v>http://ovidsp.ovid.com/ovidweb.cgi?T=JS&amp;NEWS=n&amp;CSC=Y&amp;PAGE=booktext&amp;D=books&amp;AN=01382844$&amp;XPATH=/PG(0)&amp;EPUB=Y</v>
      </c>
      <c r="G1079" t="s">
        <v>2139</v>
      </c>
      <c r="H1079" t="s">
        <v>2974</v>
      </c>
      <c r="I1079">
        <v>1206726</v>
      </c>
      <c r="J1079" t="s">
        <v>3263</v>
      </c>
      <c r="K1079" t="s">
        <v>4651</v>
      </c>
    </row>
    <row r="1080" spans="1:11" x14ac:dyDescent="0.3">
      <c r="A1080" t="s">
        <v>2360</v>
      </c>
      <c r="B1080" t="s">
        <v>2352</v>
      </c>
      <c r="C1080" t="s">
        <v>1337</v>
      </c>
      <c r="D1080" t="s">
        <v>4111</v>
      </c>
      <c r="E1080" t="s">
        <v>3051</v>
      </c>
      <c r="F1080" s="1" t="str">
        <f>HYPERLINK("http://ovidsp.ovid.com/ovidweb.cgi?T=JS&amp;NEWS=n&amp;CSC=Y&amp;PAGE=booktext&amp;D=books&amp;AN=01435763$&amp;XPATH=/PG(0)&amp;EPUB=Y","http://ovidsp.ovid.com/ovidweb.cgi?T=JS&amp;NEWS=n&amp;CSC=Y&amp;PAGE=booktext&amp;D=books&amp;AN=01435763$&amp;XPATH=/PG(0)&amp;EPUB=Y")</f>
        <v>http://ovidsp.ovid.com/ovidweb.cgi?T=JS&amp;NEWS=n&amp;CSC=Y&amp;PAGE=booktext&amp;D=books&amp;AN=01435763$&amp;XPATH=/PG(0)&amp;EPUB=Y</v>
      </c>
      <c r="G1080" t="s">
        <v>2139</v>
      </c>
      <c r="H1080" t="s">
        <v>2974</v>
      </c>
      <c r="I1080">
        <v>1206726</v>
      </c>
      <c r="J1080" t="s">
        <v>3263</v>
      </c>
      <c r="K1080" t="s">
        <v>4525</v>
      </c>
    </row>
    <row r="1081" spans="1:11" x14ac:dyDescent="0.3">
      <c r="A1081" t="s">
        <v>3152</v>
      </c>
      <c r="B1081" t="s">
        <v>1064</v>
      </c>
      <c r="C1081" t="s">
        <v>570</v>
      </c>
      <c r="D1081" t="s">
        <v>4111</v>
      </c>
      <c r="E1081" t="s">
        <v>1104</v>
      </c>
      <c r="F1081" s="1" t="str">
        <f>HYPERLINK("http://ovidsp.ovid.com/ovidweb.cgi?T=JS&amp;NEWS=n&amp;CSC=Y&amp;PAGE=booktext&amp;D=books&amp;AN=01382497$&amp;XPATH=/PG(0)&amp;EPUB=Y","http://ovidsp.ovid.com/ovidweb.cgi?T=JS&amp;NEWS=n&amp;CSC=Y&amp;PAGE=booktext&amp;D=books&amp;AN=01382497$&amp;XPATH=/PG(0)&amp;EPUB=Y")</f>
        <v>http://ovidsp.ovid.com/ovidweb.cgi?T=JS&amp;NEWS=n&amp;CSC=Y&amp;PAGE=booktext&amp;D=books&amp;AN=01382497$&amp;XPATH=/PG(0)&amp;EPUB=Y</v>
      </c>
      <c r="G1081" t="s">
        <v>2139</v>
      </c>
      <c r="H1081" t="s">
        <v>2974</v>
      </c>
      <c r="I1081">
        <v>1206726</v>
      </c>
      <c r="J1081" t="s">
        <v>3263</v>
      </c>
      <c r="K1081" t="s">
        <v>1234</v>
      </c>
    </row>
    <row r="1082" spans="1:11" x14ac:dyDescent="0.3">
      <c r="A1082" t="s">
        <v>21</v>
      </c>
      <c r="B1082" t="s">
        <v>55</v>
      </c>
      <c r="C1082" t="s">
        <v>3338</v>
      </c>
      <c r="D1082" t="s">
        <v>4111</v>
      </c>
      <c r="E1082" t="s">
        <v>2223</v>
      </c>
      <c r="F1082" s="1" t="str">
        <f>HYPERLINK("http://ovidsp.ovid.com/ovidweb.cgi?T=JS&amp;NEWS=n&amp;CSC=Y&amp;PAGE=booktext&amp;D=books&amp;AN=01382859$&amp;XPATH=/PG(0)&amp;EPUB=Y","http://ovidsp.ovid.com/ovidweb.cgi?T=JS&amp;NEWS=n&amp;CSC=Y&amp;PAGE=booktext&amp;D=books&amp;AN=01382859$&amp;XPATH=/PG(0)&amp;EPUB=Y")</f>
        <v>http://ovidsp.ovid.com/ovidweb.cgi?T=JS&amp;NEWS=n&amp;CSC=Y&amp;PAGE=booktext&amp;D=books&amp;AN=01382859$&amp;XPATH=/PG(0)&amp;EPUB=Y</v>
      </c>
      <c r="G1082" t="s">
        <v>2139</v>
      </c>
      <c r="H1082" t="s">
        <v>2974</v>
      </c>
      <c r="I1082">
        <v>1206726</v>
      </c>
      <c r="J1082" t="s">
        <v>3263</v>
      </c>
      <c r="K1082" t="s">
        <v>1137</v>
      </c>
    </row>
    <row r="1083" spans="1:11" x14ac:dyDescent="0.3">
      <c r="A1083" t="s">
        <v>3853</v>
      </c>
      <c r="B1083" t="s">
        <v>2552</v>
      </c>
      <c r="C1083" t="s">
        <v>2365</v>
      </c>
      <c r="D1083" t="s">
        <v>4111</v>
      </c>
      <c r="E1083" t="s">
        <v>2876</v>
      </c>
      <c r="F1083" s="1" t="str">
        <f>HYPERLINK("http://ovidsp.ovid.com/ovidweb.cgi?T=JS&amp;NEWS=n&amp;CSC=Y&amp;PAGE=booktext&amp;D=books&amp;AN=01223040$&amp;XPATH=/PG(0)&amp;EPUB=Y","http://ovidsp.ovid.com/ovidweb.cgi?T=JS&amp;NEWS=n&amp;CSC=Y&amp;PAGE=booktext&amp;D=books&amp;AN=01223040$&amp;XPATH=/PG(0)&amp;EPUB=Y")</f>
        <v>http://ovidsp.ovid.com/ovidweb.cgi?T=JS&amp;NEWS=n&amp;CSC=Y&amp;PAGE=booktext&amp;D=books&amp;AN=01223040$&amp;XPATH=/PG(0)&amp;EPUB=Y</v>
      </c>
      <c r="G1083" t="s">
        <v>2139</v>
      </c>
      <c r="H1083" t="s">
        <v>2974</v>
      </c>
      <c r="I1083">
        <v>1206726</v>
      </c>
      <c r="J1083" t="s">
        <v>3263</v>
      </c>
      <c r="K1083" t="s">
        <v>3250</v>
      </c>
    </row>
    <row r="1084" spans="1:11" x14ac:dyDescent="0.3">
      <c r="A1084" t="s">
        <v>3268</v>
      </c>
      <c r="B1084" t="s">
        <v>4303</v>
      </c>
      <c r="C1084" t="s">
        <v>462</v>
      </c>
      <c r="D1084" t="s">
        <v>4111</v>
      </c>
      <c r="E1084" t="s">
        <v>3051</v>
      </c>
      <c r="F1084" s="1" t="str">
        <f>HYPERLINK("http://ovidsp.ovid.com/ovidweb.cgi?T=JS&amp;NEWS=n&amp;CSC=Y&amp;PAGE=booktext&amp;D=books&amp;AN=01223041$&amp;XPATH=/PG(0)&amp;EPUB=Y","http://ovidsp.ovid.com/ovidweb.cgi?T=JS&amp;NEWS=n&amp;CSC=Y&amp;PAGE=booktext&amp;D=books&amp;AN=01223041$&amp;XPATH=/PG(0)&amp;EPUB=Y")</f>
        <v>http://ovidsp.ovid.com/ovidweb.cgi?T=JS&amp;NEWS=n&amp;CSC=Y&amp;PAGE=booktext&amp;D=books&amp;AN=01223041$&amp;XPATH=/PG(0)&amp;EPUB=Y</v>
      </c>
      <c r="G1084" t="s">
        <v>2139</v>
      </c>
      <c r="H1084" t="s">
        <v>2974</v>
      </c>
      <c r="I1084">
        <v>1206726</v>
      </c>
      <c r="J1084" t="s">
        <v>3263</v>
      </c>
      <c r="K1084" t="s">
        <v>2273</v>
      </c>
    </row>
    <row r="1085" spans="1:11" x14ac:dyDescent="0.3">
      <c r="A1085" t="s">
        <v>2657</v>
      </c>
      <c r="B1085" t="s">
        <v>638</v>
      </c>
      <c r="C1085" t="s">
        <v>2503</v>
      </c>
      <c r="D1085" t="s">
        <v>4111</v>
      </c>
      <c r="E1085" t="s">
        <v>2223</v>
      </c>
      <c r="F1085" s="1" t="str">
        <f>HYPERLINK("http://ovidsp.ovid.com/ovidweb.cgi?T=JS&amp;NEWS=n&amp;CSC=Y&amp;PAGE=booktext&amp;D=books&amp;AN=01279720$&amp;XPATH=/PG(0)&amp;EPUB=Y","http://ovidsp.ovid.com/ovidweb.cgi?T=JS&amp;NEWS=n&amp;CSC=Y&amp;PAGE=booktext&amp;D=books&amp;AN=01279720$&amp;XPATH=/PG(0)&amp;EPUB=Y")</f>
        <v>http://ovidsp.ovid.com/ovidweb.cgi?T=JS&amp;NEWS=n&amp;CSC=Y&amp;PAGE=booktext&amp;D=books&amp;AN=01279720$&amp;XPATH=/PG(0)&amp;EPUB=Y</v>
      </c>
      <c r="G1085" t="s">
        <v>2139</v>
      </c>
      <c r="H1085" t="s">
        <v>2974</v>
      </c>
      <c r="I1085">
        <v>1206726</v>
      </c>
      <c r="J1085" t="s">
        <v>3263</v>
      </c>
      <c r="K1085" t="s">
        <v>1745</v>
      </c>
    </row>
    <row r="1086" spans="1:11" x14ac:dyDescent="0.3">
      <c r="A1086" t="s">
        <v>131</v>
      </c>
      <c r="B1086" t="s">
        <v>3220</v>
      </c>
      <c r="C1086" t="s">
        <v>1552</v>
      </c>
      <c r="D1086" t="s">
        <v>4111</v>
      </c>
      <c r="E1086" t="s">
        <v>404</v>
      </c>
      <c r="F1086" s="1" t="str">
        <f>HYPERLINK("http://ovidsp.ovid.com/ovidweb.cgi?T=JS&amp;NEWS=n&amp;CSC=Y&amp;PAGE=booktext&amp;D=books&amp;AN=00140009$&amp;XPATH=/PG(0)&amp;EPUB=Y","http://ovidsp.ovid.com/ovidweb.cgi?T=JS&amp;NEWS=n&amp;CSC=Y&amp;PAGE=booktext&amp;D=books&amp;AN=00140009$&amp;XPATH=/PG(0)&amp;EPUB=Y")</f>
        <v>http://ovidsp.ovid.com/ovidweb.cgi?T=JS&amp;NEWS=n&amp;CSC=Y&amp;PAGE=booktext&amp;D=books&amp;AN=00140009$&amp;XPATH=/PG(0)&amp;EPUB=Y</v>
      </c>
      <c r="G1086" t="s">
        <v>2139</v>
      </c>
      <c r="H1086" t="s">
        <v>2974</v>
      </c>
      <c r="I1086">
        <v>1206726</v>
      </c>
      <c r="J1086" t="s">
        <v>3263</v>
      </c>
      <c r="K1086" t="s">
        <v>2170</v>
      </c>
    </row>
    <row r="1087" spans="1:11" x14ac:dyDescent="0.3">
      <c r="A1087" t="s">
        <v>297</v>
      </c>
      <c r="B1087" t="s">
        <v>374</v>
      </c>
      <c r="C1087" t="s">
        <v>540</v>
      </c>
      <c r="D1087" t="s">
        <v>4111</v>
      </c>
      <c r="E1087" t="s">
        <v>2223</v>
      </c>
      <c r="F1087" s="1" t="str">
        <f>HYPERLINK("http://ovidsp.ovid.com/ovidweb.cgi?T=JS&amp;NEWS=n&amp;CSC=Y&amp;PAGE=booktext&amp;D=books&amp;AN=01337539$&amp;XPATH=/PG(0)&amp;EPUB=Y","http://ovidsp.ovid.com/ovidweb.cgi?T=JS&amp;NEWS=n&amp;CSC=Y&amp;PAGE=booktext&amp;D=books&amp;AN=01337539$&amp;XPATH=/PG(0)&amp;EPUB=Y")</f>
        <v>http://ovidsp.ovid.com/ovidweb.cgi?T=JS&amp;NEWS=n&amp;CSC=Y&amp;PAGE=booktext&amp;D=books&amp;AN=01337539$&amp;XPATH=/PG(0)&amp;EPUB=Y</v>
      </c>
      <c r="G1087" t="s">
        <v>2139</v>
      </c>
      <c r="H1087" t="s">
        <v>2974</v>
      </c>
      <c r="I1087">
        <v>1206726</v>
      </c>
      <c r="J1087" t="s">
        <v>3263</v>
      </c>
      <c r="K1087" t="s">
        <v>3209</v>
      </c>
    </row>
    <row r="1088" spans="1:11" x14ac:dyDescent="0.3">
      <c r="A1088" t="s">
        <v>658</v>
      </c>
      <c r="B1088" t="s">
        <v>1868</v>
      </c>
      <c r="C1088" t="s">
        <v>2991</v>
      </c>
      <c r="D1088" t="s">
        <v>4111</v>
      </c>
      <c r="E1088" t="s">
        <v>1104</v>
      </c>
      <c r="F1088" s="1" t="str">
        <f>HYPERLINK("http://ovidsp.ovid.com/ovidweb.cgi?T=JS&amp;NEWS=n&amp;CSC=Y&amp;PAGE=booktext&amp;D=books&amp;AN=01437575$&amp;XPATH=/PG(0)&amp;EPUB=Y","http://ovidsp.ovid.com/ovidweb.cgi?T=JS&amp;NEWS=n&amp;CSC=Y&amp;PAGE=booktext&amp;D=books&amp;AN=01437575$&amp;XPATH=/PG(0)&amp;EPUB=Y")</f>
        <v>http://ovidsp.ovid.com/ovidweb.cgi?T=JS&amp;NEWS=n&amp;CSC=Y&amp;PAGE=booktext&amp;D=books&amp;AN=01437575$&amp;XPATH=/PG(0)&amp;EPUB=Y</v>
      </c>
      <c r="G1088" t="s">
        <v>2139</v>
      </c>
      <c r="H1088" t="s">
        <v>2974</v>
      </c>
      <c r="I1088">
        <v>1206726</v>
      </c>
      <c r="J1088" t="s">
        <v>3263</v>
      </c>
      <c r="K1088" t="s">
        <v>3948</v>
      </c>
    </row>
    <row r="1089" spans="1:11" x14ac:dyDescent="0.3">
      <c r="A1089" t="s">
        <v>2902</v>
      </c>
      <c r="B1089" t="s">
        <v>1011</v>
      </c>
      <c r="C1089" t="s">
        <v>3645</v>
      </c>
      <c r="D1089" t="s">
        <v>4111</v>
      </c>
      <c r="E1089" t="s">
        <v>404</v>
      </c>
      <c r="F1089" s="1" t="str">
        <f>HYPERLINK("http://ovidsp.ovid.com/ovidweb.cgi?T=JS&amp;NEWS=n&amp;CSC=Y&amp;PAGE=booktext&amp;D=books&amp;AN=01382683$&amp;XPATH=/PG(0)&amp;EPUB=Y","http://ovidsp.ovid.com/ovidweb.cgi?T=JS&amp;NEWS=n&amp;CSC=Y&amp;PAGE=booktext&amp;D=books&amp;AN=01382683$&amp;XPATH=/PG(0)&amp;EPUB=Y")</f>
        <v>http://ovidsp.ovid.com/ovidweb.cgi?T=JS&amp;NEWS=n&amp;CSC=Y&amp;PAGE=booktext&amp;D=books&amp;AN=01382683$&amp;XPATH=/PG(0)&amp;EPUB=Y</v>
      </c>
      <c r="G1089" t="s">
        <v>2139</v>
      </c>
      <c r="H1089" t="s">
        <v>2974</v>
      </c>
      <c r="I1089">
        <v>1206726</v>
      </c>
      <c r="J1089" t="s">
        <v>3263</v>
      </c>
      <c r="K1089" t="s">
        <v>1686</v>
      </c>
    </row>
    <row r="1090" spans="1:11" x14ac:dyDescent="0.3">
      <c r="A1090" t="s">
        <v>340</v>
      </c>
      <c r="B1090" t="s">
        <v>3673</v>
      </c>
      <c r="C1090" t="s">
        <v>4457</v>
      </c>
      <c r="D1090" t="s">
        <v>4111</v>
      </c>
      <c r="E1090" t="s">
        <v>404</v>
      </c>
      <c r="F1090" s="1" t="str">
        <f>HYPERLINK("http://ovidsp.ovid.com/ovidweb.cgi?T=JS&amp;NEWS=n&amp;CSC=Y&amp;PAGE=booktext&amp;D=books&amp;AN=01382686$&amp;XPATH=/PG(0)&amp;EPUB=Y","http://ovidsp.ovid.com/ovidweb.cgi?T=JS&amp;NEWS=n&amp;CSC=Y&amp;PAGE=booktext&amp;D=books&amp;AN=01382686$&amp;XPATH=/PG(0)&amp;EPUB=Y")</f>
        <v>http://ovidsp.ovid.com/ovidweb.cgi?T=JS&amp;NEWS=n&amp;CSC=Y&amp;PAGE=booktext&amp;D=books&amp;AN=01382686$&amp;XPATH=/PG(0)&amp;EPUB=Y</v>
      </c>
      <c r="G1090" t="s">
        <v>2139</v>
      </c>
      <c r="H1090" t="s">
        <v>2974</v>
      </c>
      <c r="I1090">
        <v>1206726</v>
      </c>
      <c r="J1090" t="s">
        <v>3263</v>
      </c>
      <c r="K1090" t="s">
        <v>4143</v>
      </c>
    </row>
    <row r="1091" spans="1:11" x14ac:dyDescent="0.3">
      <c r="A1091" t="s">
        <v>3927</v>
      </c>
      <c r="B1091" t="s">
        <v>4538</v>
      </c>
      <c r="C1091" t="s">
        <v>3210</v>
      </c>
      <c r="D1091" t="s">
        <v>4111</v>
      </c>
      <c r="E1091" t="s">
        <v>2223</v>
      </c>
      <c r="F1091" s="1" t="str">
        <f>HYPERLINK("http://ovidsp.ovid.com/ovidweb.cgi?T=JS&amp;NEWS=n&amp;CSC=Y&amp;PAGE=booktext&amp;D=books&amp;AN=01382685$&amp;XPATH=/PG(0)&amp;EPUB=Y","http://ovidsp.ovid.com/ovidweb.cgi?T=JS&amp;NEWS=n&amp;CSC=Y&amp;PAGE=booktext&amp;D=books&amp;AN=01382685$&amp;XPATH=/PG(0)&amp;EPUB=Y")</f>
        <v>http://ovidsp.ovid.com/ovidweb.cgi?T=JS&amp;NEWS=n&amp;CSC=Y&amp;PAGE=booktext&amp;D=books&amp;AN=01382685$&amp;XPATH=/PG(0)&amp;EPUB=Y</v>
      </c>
      <c r="G1091" t="s">
        <v>2139</v>
      </c>
      <c r="H1091" t="s">
        <v>2974</v>
      </c>
      <c r="I1091">
        <v>1206726</v>
      </c>
      <c r="J1091" t="s">
        <v>3263</v>
      </c>
      <c r="K1091" t="s">
        <v>1563</v>
      </c>
    </row>
    <row r="1092" spans="1:11" x14ac:dyDescent="0.3">
      <c r="A1092" t="s">
        <v>3028</v>
      </c>
      <c r="B1092" t="s">
        <v>3674</v>
      </c>
      <c r="C1092" t="s">
        <v>1932</v>
      </c>
      <c r="D1092" t="s">
        <v>4111</v>
      </c>
      <c r="E1092" t="s">
        <v>404</v>
      </c>
      <c r="F1092" s="1" t="str">
        <f>HYPERLINK("http://ovidsp.ovid.com/ovidweb.cgi?T=JS&amp;NEWS=n&amp;CSC=Y&amp;PAGE=booktext&amp;D=books&amp;AN=01382688$&amp;XPATH=/PG(0)&amp;EPUB=Y","http://ovidsp.ovid.com/ovidweb.cgi?T=JS&amp;NEWS=n&amp;CSC=Y&amp;PAGE=booktext&amp;D=books&amp;AN=01382688$&amp;XPATH=/PG(0)&amp;EPUB=Y")</f>
        <v>http://ovidsp.ovid.com/ovidweb.cgi?T=JS&amp;NEWS=n&amp;CSC=Y&amp;PAGE=booktext&amp;D=books&amp;AN=01382688$&amp;XPATH=/PG(0)&amp;EPUB=Y</v>
      </c>
      <c r="G1092" t="s">
        <v>2139</v>
      </c>
      <c r="H1092" t="s">
        <v>2974</v>
      </c>
      <c r="I1092">
        <v>1206726</v>
      </c>
      <c r="J1092" t="s">
        <v>3263</v>
      </c>
      <c r="K1092" t="s">
        <v>447</v>
      </c>
    </row>
    <row r="1093" spans="1:11" x14ac:dyDescent="0.3">
      <c r="A1093" t="s">
        <v>1960</v>
      </c>
      <c r="B1093" t="s">
        <v>1695</v>
      </c>
      <c r="C1093" t="s">
        <v>3562</v>
      </c>
      <c r="D1093" t="s">
        <v>4111</v>
      </c>
      <c r="E1093" t="s">
        <v>1104</v>
      </c>
      <c r="F1093" s="1" t="str">
        <f>HYPERLINK("http://ovidsp.ovid.com/ovidweb.cgi?T=JS&amp;NEWS=n&amp;CSC=Y&amp;PAGE=booktext&amp;D=books&amp;AN=01382689$&amp;XPATH=/PG(0)&amp;EPUB=Y","http://ovidsp.ovid.com/ovidweb.cgi?T=JS&amp;NEWS=n&amp;CSC=Y&amp;PAGE=booktext&amp;D=books&amp;AN=01382689$&amp;XPATH=/PG(0)&amp;EPUB=Y")</f>
        <v>http://ovidsp.ovid.com/ovidweb.cgi?T=JS&amp;NEWS=n&amp;CSC=Y&amp;PAGE=booktext&amp;D=books&amp;AN=01382689$&amp;XPATH=/PG(0)&amp;EPUB=Y</v>
      </c>
      <c r="G1093" t="s">
        <v>2139</v>
      </c>
      <c r="H1093" t="s">
        <v>2974</v>
      </c>
      <c r="I1093">
        <v>1206726</v>
      </c>
      <c r="J1093" t="s">
        <v>3263</v>
      </c>
      <c r="K1093" t="s">
        <v>427</v>
      </c>
    </row>
    <row r="1094" spans="1:11" x14ac:dyDescent="0.3">
      <c r="A1094" t="s">
        <v>2331</v>
      </c>
      <c r="B1094" t="s">
        <v>3625</v>
      </c>
      <c r="C1094" t="s">
        <v>1855</v>
      </c>
      <c r="D1094" t="s">
        <v>4111</v>
      </c>
      <c r="E1094" t="s">
        <v>2223</v>
      </c>
      <c r="F1094" s="1" t="str">
        <f>HYPERLINK("http://ovidsp.ovid.com/ovidweb.cgi?T=JS&amp;NEWS=n&amp;CSC=Y&amp;PAGE=booktext&amp;D=books&amp;AN=01376507$&amp;XPATH=/PG(0)&amp;EPUB=Y","http://ovidsp.ovid.com/ovidweb.cgi?T=JS&amp;NEWS=n&amp;CSC=Y&amp;PAGE=booktext&amp;D=books&amp;AN=01376507$&amp;XPATH=/PG(0)&amp;EPUB=Y")</f>
        <v>http://ovidsp.ovid.com/ovidweb.cgi?T=JS&amp;NEWS=n&amp;CSC=Y&amp;PAGE=booktext&amp;D=books&amp;AN=01376507$&amp;XPATH=/PG(0)&amp;EPUB=Y</v>
      </c>
      <c r="G1094" t="s">
        <v>2139</v>
      </c>
      <c r="H1094" t="s">
        <v>2974</v>
      </c>
      <c r="I1094">
        <v>1206726</v>
      </c>
      <c r="J1094" t="s">
        <v>3263</v>
      </c>
      <c r="K1094" t="s">
        <v>1526</v>
      </c>
    </row>
    <row r="1095" spans="1:11" x14ac:dyDescent="0.3">
      <c r="A1095" t="s">
        <v>1898</v>
      </c>
      <c r="B1095" t="s">
        <v>4717</v>
      </c>
      <c r="C1095" t="s">
        <v>2100</v>
      </c>
      <c r="D1095" t="s">
        <v>4111</v>
      </c>
      <c r="E1095" t="s">
        <v>3051</v>
      </c>
      <c r="F1095" s="1" t="str">
        <f>HYPERLINK("http://ovidsp.ovid.com/ovidweb.cgi?T=JS&amp;NEWS=n&amp;CSC=Y&amp;PAGE=booktext&amp;D=books&amp;AN=01429642$&amp;XPATH=/PG(0)&amp;EPUB=Y","http://ovidsp.ovid.com/ovidweb.cgi?T=JS&amp;NEWS=n&amp;CSC=Y&amp;PAGE=booktext&amp;D=books&amp;AN=01429642$&amp;XPATH=/PG(0)&amp;EPUB=Y")</f>
        <v>http://ovidsp.ovid.com/ovidweb.cgi?T=JS&amp;NEWS=n&amp;CSC=Y&amp;PAGE=booktext&amp;D=books&amp;AN=01429642$&amp;XPATH=/PG(0)&amp;EPUB=Y</v>
      </c>
      <c r="G1095" t="s">
        <v>2139</v>
      </c>
      <c r="H1095" t="s">
        <v>2974</v>
      </c>
      <c r="I1095">
        <v>1206726</v>
      </c>
      <c r="J1095" t="s">
        <v>3263</v>
      </c>
      <c r="K1095" t="s">
        <v>1956</v>
      </c>
    </row>
    <row r="1096" spans="1:11" x14ac:dyDescent="0.3">
      <c r="A1096" t="s">
        <v>2451</v>
      </c>
      <c r="B1096" t="s">
        <v>619</v>
      </c>
      <c r="C1096" t="s">
        <v>2504</v>
      </c>
      <c r="D1096" t="s">
        <v>4111</v>
      </c>
      <c r="E1096" t="s">
        <v>2223</v>
      </c>
      <c r="F1096" s="1" t="str">
        <f>HYPERLINK("http://ovidsp.ovid.com/ovidweb.cgi?T=JS&amp;NEWS=n&amp;CSC=Y&amp;PAGE=booktext&amp;D=books&amp;AN=01434220$&amp;XPATH=/PG(0)&amp;EPUB=Y","http://ovidsp.ovid.com/ovidweb.cgi?T=JS&amp;NEWS=n&amp;CSC=Y&amp;PAGE=booktext&amp;D=books&amp;AN=01434220$&amp;XPATH=/PG(0)&amp;EPUB=Y")</f>
        <v>http://ovidsp.ovid.com/ovidweb.cgi?T=JS&amp;NEWS=n&amp;CSC=Y&amp;PAGE=booktext&amp;D=books&amp;AN=01434220$&amp;XPATH=/PG(0)&amp;EPUB=Y</v>
      </c>
      <c r="G1096" t="s">
        <v>2139</v>
      </c>
      <c r="H1096" t="s">
        <v>2974</v>
      </c>
      <c r="I1096">
        <v>1206726</v>
      </c>
      <c r="J1096" t="s">
        <v>3263</v>
      </c>
      <c r="K1096" t="s">
        <v>4355</v>
      </c>
    </row>
    <row r="1097" spans="1:11" x14ac:dyDescent="0.3">
      <c r="A1097" t="s">
        <v>4244</v>
      </c>
      <c r="B1097" t="s">
        <v>3348</v>
      </c>
      <c r="C1097" t="s">
        <v>3618</v>
      </c>
      <c r="D1097" t="s">
        <v>4111</v>
      </c>
      <c r="E1097" t="s">
        <v>1104</v>
      </c>
      <c r="F1097" s="1" t="str">
        <f>HYPERLINK("http://ovidsp.ovid.com/ovidweb.cgi?T=JS&amp;NEWS=n&amp;CSC=Y&amp;PAGE=booktext&amp;D=books&amp;AN=01435765$&amp;XPATH=/PG(0)&amp;EPUB=Y","http://ovidsp.ovid.com/ovidweb.cgi?T=JS&amp;NEWS=n&amp;CSC=Y&amp;PAGE=booktext&amp;D=books&amp;AN=01435765$&amp;XPATH=/PG(0)&amp;EPUB=Y")</f>
        <v>http://ovidsp.ovid.com/ovidweb.cgi?T=JS&amp;NEWS=n&amp;CSC=Y&amp;PAGE=booktext&amp;D=books&amp;AN=01435765$&amp;XPATH=/PG(0)&amp;EPUB=Y</v>
      </c>
      <c r="G1097" t="s">
        <v>2139</v>
      </c>
      <c r="H1097" t="s">
        <v>2974</v>
      </c>
      <c r="I1097">
        <v>1206726</v>
      </c>
      <c r="J1097" t="s">
        <v>3263</v>
      </c>
      <c r="K1097" t="s">
        <v>2255</v>
      </c>
    </row>
    <row r="1098" spans="1:11" x14ac:dyDescent="0.3">
      <c r="A1098" t="s">
        <v>1746</v>
      </c>
      <c r="B1098" t="s">
        <v>445</v>
      </c>
      <c r="C1098" t="s">
        <v>3780</v>
      </c>
      <c r="D1098" t="s">
        <v>4111</v>
      </c>
      <c r="E1098" t="s">
        <v>2223</v>
      </c>
      <c r="F1098" s="1" t="str">
        <f>HYPERLINK("http://ovidsp.ovid.com/ovidweb.cgi?T=JS&amp;NEWS=n&amp;CSC=Y&amp;PAGE=booktext&amp;D=books&amp;AN=01257036$&amp;XPATH=/PG(0)&amp;EPUB=Y","http://ovidsp.ovid.com/ovidweb.cgi?T=JS&amp;NEWS=n&amp;CSC=Y&amp;PAGE=booktext&amp;D=books&amp;AN=01257036$&amp;XPATH=/PG(0)&amp;EPUB=Y")</f>
        <v>http://ovidsp.ovid.com/ovidweb.cgi?T=JS&amp;NEWS=n&amp;CSC=Y&amp;PAGE=booktext&amp;D=books&amp;AN=01257036$&amp;XPATH=/PG(0)&amp;EPUB=Y</v>
      </c>
      <c r="G1098" t="s">
        <v>2139</v>
      </c>
      <c r="H1098" t="s">
        <v>2974</v>
      </c>
      <c r="I1098">
        <v>1206726</v>
      </c>
      <c r="J1098" t="s">
        <v>3263</v>
      </c>
      <c r="K1098" t="s">
        <v>5</v>
      </c>
    </row>
    <row r="1099" spans="1:11" x14ac:dyDescent="0.3">
      <c r="A1099" t="s">
        <v>3601</v>
      </c>
      <c r="B1099" t="s">
        <v>174</v>
      </c>
      <c r="C1099" t="s">
        <v>762</v>
      </c>
      <c r="D1099" t="s">
        <v>4111</v>
      </c>
      <c r="E1099" t="s">
        <v>2223</v>
      </c>
      <c r="F1099" s="1" t="str">
        <f>HYPERLINK("http://ovidsp.ovid.com/ovidweb.cgi?T=JS&amp;NEWS=n&amp;CSC=Y&amp;PAGE=booktext&amp;D=books&amp;AN=01382690$&amp;XPATH=/PG(0)&amp;EPUB=Y","http://ovidsp.ovid.com/ovidweb.cgi?T=JS&amp;NEWS=n&amp;CSC=Y&amp;PAGE=booktext&amp;D=books&amp;AN=01382690$&amp;XPATH=/PG(0)&amp;EPUB=Y")</f>
        <v>http://ovidsp.ovid.com/ovidweb.cgi?T=JS&amp;NEWS=n&amp;CSC=Y&amp;PAGE=booktext&amp;D=books&amp;AN=01382690$&amp;XPATH=/PG(0)&amp;EPUB=Y</v>
      </c>
      <c r="G1099" t="s">
        <v>2139</v>
      </c>
      <c r="H1099" t="s">
        <v>2974</v>
      </c>
      <c r="I1099">
        <v>1206726</v>
      </c>
      <c r="J1099" t="s">
        <v>3263</v>
      </c>
      <c r="K1099" t="s">
        <v>1197</v>
      </c>
    </row>
    <row r="1100" spans="1:11" x14ac:dyDescent="0.3">
      <c r="A1100" t="s">
        <v>4585</v>
      </c>
      <c r="B1100" t="s">
        <v>4551</v>
      </c>
      <c r="C1100" t="s">
        <v>4474</v>
      </c>
      <c r="D1100" t="s">
        <v>4111</v>
      </c>
      <c r="E1100" t="s">
        <v>2223</v>
      </c>
      <c r="F1100" s="1" t="str">
        <f>HYPERLINK("http://ovidsp.ovid.com/ovidweb.cgi?T=JS&amp;NEWS=n&amp;CSC=Y&amp;PAGE=booktext&amp;D=books&amp;AN=01437576$&amp;XPATH=/PG(0)&amp;EPUB=Y","http://ovidsp.ovid.com/ovidweb.cgi?T=JS&amp;NEWS=n&amp;CSC=Y&amp;PAGE=booktext&amp;D=books&amp;AN=01437576$&amp;XPATH=/PG(0)&amp;EPUB=Y")</f>
        <v>http://ovidsp.ovid.com/ovidweb.cgi?T=JS&amp;NEWS=n&amp;CSC=Y&amp;PAGE=booktext&amp;D=books&amp;AN=01437576$&amp;XPATH=/PG(0)&amp;EPUB=Y</v>
      </c>
      <c r="G1100" t="s">
        <v>2139</v>
      </c>
      <c r="H1100" t="s">
        <v>2974</v>
      </c>
      <c r="I1100">
        <v>1206726</v>
      </c>
      <c r="J1100" t="s">
        <v>3263</v>
      </c>
      <c r="K1100" t="s">
        <v>2611</v>
      </c>
    </row>
    <row r="1101" spans="1:11" x14ac:dyDescent="0.3">
      <c r="A1101" t="s">
        <v>188</v>
      </c>
      <c r="B1101" t="s">
        <v>3419</v>
      </c>
      <c r="C1101" t="s">
        <v>1433</v>
      </c>
      <c r="D1101" t="s">
        <v>4111</v>
      </c>
      <c r="E1101" t="s">
        <v>404</v>
      </c>
      <c r="F1101" s="1" t="str">
        <f>HYPERLINK("http://ovidsp.ovid.com/ovidweb.cgi?T=JS&amp;NEWS=n&amp;CSC=Y&amp;PAGE=booktext&amp;D=books&amp;AN=01279765$&amp;XPATH=/PG(0)&amp;EPUB=Y","http://ovidsp.ovid.com/ovidweb.cgi?T=JS&amp;NEWS=n&amp;CSC=Y&amp;PAGE=booktext&amp;D=books&amp;AN=01279765$&amp;XPATH=/PG(0)&amp;EPUB=Y")</f>
        <v>http://ovidsp.ovid.com/ovidweb.cgi?T=JS&amp;NEWS=n&amp;CSC=Y&amp;PAGE=booktext&amp;D=books&amp;AN=01279765$&amp;XPATH=/PG(0)&amp;EPUB=Y</v>
      </c>
      <c r="G1101" t="s">
        <v>2139</v>
      </c>
      <c r="H1101" t="s">
        <v>2974</v>
      </c>
      <c r="I1101">
        <v>1206726</v>
      </c>
      <c r="J1101" t="s">
        <v>3263</v>
      </c>
      <c r="K1101" t="s">
        <v>1419</v>
      </c>
    </row>
    <row r="1102" spans="1:11" x14ac:dyDescent="0.3">
      <c r="A1102" t="s">
        <v>2985</v>
      </c>
      <c r="B1102" t="s">
        <v>1330</v>
      </c>
      <c r="C1102" t="s">
        <v>4545</v>
      </c>
      <c r="D1102" t="s">
        <v>4111</v>
      </c>
      <c r="E1102" t="s">
        <v>1104</v>
      </c>
      <c r="F1102" s="1" t="str">
        <f>HYPERLINK("http://ovidsp.ovid.com/ovidweb.cgi?T=JS&amp;NEWS=n&amp;CSC=Y&amp;PAGE=booktext&amp;D=books&amp;AN=01382691$&amp;XPATH=/PG(0)&amp;EPUB=Y","http://ovidsp.ovid.com/ovidweb.cgi?T=JS&amp;NEWS=n&amp;CSC=Y&amp;PAGE=booktext&amp;D=books&amp;AN=01382691$&amp;XPATH=/PG(0)&amp;EPUB=Y")</f>
        <v>http://ovidsp.ovid.com/ovidweb.cgi?T=JS&amp;NEWS=n&amp;CSC=Y&amp;PAGE=booktext&amp;D=books&amp;AN=01382691$&amp;XPATH=/PG(0)&amp;EPUB=Y</v>
      </c>
      <c r="G1102" t="s">
        <v>2139</v>
      </c>
      <c r="H1102" t="s">
        <v>2974</v>
      </c>
      <c r="I1102">
        <v>1206726</v>
      </c>
      <c r="J1102" t="s">
        <v>3263</v>
      </c>
      <c r="K1102" t="s">
        <v>4032</v>
      </c>
    </row>
    <row r="1103" spans="1:11" x14ac:dyDescent="0.3">
      <c r="A1103" t="s">
        <v>3092</v>
      </c>
      <c r="B1103" t="s">
        <v>2535</v>
      </c>
      <c r="C1103" t="s">
        <v>2969</v>
      </c>
      <c r="D1103" t="s">
        <v>4111</v>
      </c>
      <c r="E1103" t="s">
        <v>2565</v>
      </c>
      <c r="F1103" s="1" t="str">
        <f>HYPERLINK("http://ovidsp.ovid.com/ovidweb.cgi?T=JS&amp;NEWS=n&amp;CSC=Y&amp;PAGE=booktext&amp;D=books&amp;AN=01337653$&amp;XPATH=/PG(0)&amp;EPUB=Y","http://ovidsp.ovid.com/ovidweb.cgi?T=JS&amp;NEWS=n&amp;CSC=Y&amp;PAGE=booktext&amp;D=books&amp;AN=01337653$&amp;XPATH=/PG(0)&amp;EPUB=Y")</f>
        <v>http://ovidsp.ovid.com/ovidweb.cgi?T=JS&amp;NEWS=n&amp;CSC=Y&amp;PAGE=booktext&amp;D=books&amp;AN=01337653$&amp;XPATH=/PG(0)&amp;EPUB=Y</v>
      </c>
      <c r="G1103" t="s">
        <v>2139</v>
      </c>
      <c r="H1103" t="s">
        <v>2974</v>
      </c>
      <c r="I1103">
        <v>1206726</v>
      </c>
      <c r="J1103" t="s">
        <v>3263</v>
      </c>
      <c r="K1103" t="s">
        <v>603</v>
      </c>
    </row>
    <row r="1104" spans="1:11" x14ac:dyDescent="0.3">
      <c r="A1104" t="s">
        <v>3092</v>
      </c>
      <c r="B1104" t="s">
        <v>2866</v>
      </c>
      <c r="C1104" t="s">
        <v>712</v>
      </c>
      <c r="D1104" t="s">
        <v>4111</v>
      </c>
      <c r="E1104" t="s">
        <v>535</v>
      </c>
      <c r="F1104" s="1" t="str">
        <f>HYPERLINK("http://ovidsp.ovid.com/ovidweb.cgi?T=JS&amp;NEWS=n&amp;CSC=Y&amp;PAGE=booktext&amp;D=books&amp;AN=01867001$&amp;XPATH=/PG(0)&amp;EPUB=Y","http://ovidsp.ovid.com/ovidweb.cgi?T=JS&amp;NEWS=n&amp;CSC=Y&amp;PAGE=booktext&amp;D=books&amp;AN=01867001$&amp;XPATH=/PG(0)&amp;EPUB=Y")</f>
        <v>http://ovidsp.ovid.com/ovidweb.cgi?T=JS&amp;NEWS=n&amp;CSC=Y&amp;PAGE=booktext&amp;D=books&amp;AN=01867001$&amp;XPATH=/PG(0)&amp;EPUB=Y</v>
      </c>
      <c r="G1104" t="s">
        <v>2139</v>
      </c>
      <c r="H1104" t="s">
        <v>2974</v>
      </c>
      <c r="I1104">
        <v>1206726</v>
      </c>
      <c r="J1104" t="s">
        <v>3263</v>
      </c>
      <c r="K1104" t="s">
        <v>2474</v>
      </c>
    </row>
    <row r="1105" spans="1:11" x14ac:dyDescent="0.3">
      <c r="A1105" t="s">
        <v>1331</v>
      </c>
      <c r="B1105" t="s">
        <v>4333</v>
      </c>
      <c r="C1105" t="s">
        <v>956</v>
      </c>
      <c r="D1105" t="s">
        <v>4111</v>
      </c>
      <c r="E1105" t="s">
        <v>2223</v>
      </c>
      <c r="F1105" s="1" t="str">
        <f>HYPERLINK("http://ovidsp.ovid.com/ovidweb.cgi?T=JS&amp;NEWS=n&amp;CSC=Y&amp;PAGE=booktext&amp;D=books&amp;AN=01382693$&amp;XPATH=/PG(0)&amp;EPUB=Y","http://ovidsp.ovid.com/ovidweb.cgi?T=JS&amp;NEWS=n&amp;CSC=Y&amp;PAGE=booktext&amp;D=books&amp;AN=01382693$&amp;XPATH=/PG(0)&amp;EPUB=Y")</f>
        <v>http://ovidsp.ovid.com/ovidweb.cgi?T=JS&amp;NEWS=n&amp;CSC=Y&amp;PAGE=booktext&amp;D=books&amp;AN=01382693$&amp;XPATH=/PG(0)&amp;EPUB=Y</v>
      </c>
      <c r="G1105" t="s">
        <v>2139</v>
      </c>
      <c r="H1105" t="s">
        <v>2974</v>
      </c>
      <c r="I1105">
        <v>1206726</v>
      </c>
      <c r="J1105" t="s">
        <v>3263</v>
      </c>
      <c r="K1105" t="s">
        <v>2172</v>
      </c>
    </row>
    <row r="1106" spans="1:11" x14ac:dyDescent="0.3">
      <c r="A1106" t="s">
        <v>1225</v>
      </c>
      <c r="B1106" t="s">
        <v>3837</v>
      </c>
      <c r="C1106" t="s">
        <v>679</v>
      </c>
      <c r="D1106" t="s">
        <v>4111</v>
      </c>
      <c r="E1106" t="s">
        <v>404</v>
      </c>
      <c r="F1106" s="1" t="str">
        <f>HYPERLINK("http://ovidsp.ovid.com/ovidweb.cgi?T=JS&amp;NEWS=n&amp;CSC=Y&amp;PAGE=booktext&amp;D=books&amp;AN=01429419$&amp;XPATH=/PG(0)&amp;EPUB=Y","http://ovidsp.ovid.com/ovidweb.cgi?T=JS&amp;NEWS=n&amp;CSC=Y&amp;PAGE=booktext&amp;D=books&amp;AN=01429419$&amp;XPATH=/PG(0)&amp;EPUB=Y")</f>
        <v>http://ovidsp.ovid.com/ovidweb.cgi?T=JS&amp;NEWS=n&amp;CSC=Y&amp;PAGE=booktext&amp;D=books&amp;AN=01429419$&amp;XPATH=/PG(0)&amp;EPUB=Y</v>
      </c>
      <c r="G1106" t="s">
        <v>2139</v>
      </c>
      <c r="H1106" t="s">
        <v>2974</v>
      </c>
      <c r="I1106">
        <v>1206726</v>
      </c>
      <c r="J1106" t="s">
        <v>3263</v>
      </c>
      <c r="K1106" t="s">
        <v>4038</v>
      </c>
    </row>
    <row r="1107" spans="1:11" x14ac:dyDescent="0.3">
      <c r="A1107" t="s">
        <v>781</v>
      </c>
      <c r="B1107" t="s">
        <v>114</v>
      </c>
      <c r="C1107" t="s">
        <v>4304</v>
      </c>
      <c r="D1107" t="s">
        <v>4111</v>
      </c>
      <c r="E1107" t="s">
        <v>3051</v>
      </c>
      <c r="F1107" s="1" t="str">
        <f>HYPERLINK("http://ovidsp.ovid.com/ovidweb.cgi?T=JS&amp;NEWS=n&amp;CSC=Y&amp;PAGE=booktext&amp;D=books&amp;AN=01438888$&amp;XPATH=/PG(0)&amp;EPUB=Y","http://ovidsp.ovid.com/ovidweb.cgi?T=JS&amp;NEWS=n&amp;CSC=Y&amp;PAGE=booktext&amp;D=books&amp;AN=01438888$&amp;XPATH=/PG(0)&amp;EPUB=Y")</f>
        <v>http://ovidsp.ovid.com/ovidweb.cgi?T=JS&amp;NEWS=n&amp;CSC=Y&amp;PAGE=booktext&amp;D=books&amp;AN=01438888$&amp;XPATH=/PG(0)&amp;EPUB=Y</v>
      </c>
      <c r="G1107" t="s">
        <v>2139</v>
      </c>
      <c r="H1107" t="s">
        <v>2974</v>
      </c>
      <c r="I1107">
        <v>1206726</v>
      </c>
      <c r="J1107" t="s">
        <v>3263</v>
      </c>
      <c r="K1107" t="s">
        <v>2183</v>
      </c>
    </row>
    <row r="1108" spans="1:11" x14ac:dyDescent="0.3">
      <c r="A1108" t="s">
        <v>383</v>
      </c>
      <c r="B1108" t="s">
        <v>4141</v>
      </c>
      <c r="C1108" t="s">
        <v>1609</v>
      </c>
      <c r="D1108" t="s">
        <v>4111</v>
      </c>
      <c r="E1108" t="s">
        <v>2223</v>
      </c>
      <c r="F1108" s="1" t="str">
        <f>HYPERLINK("http://ovidsp.ovid.com/ovidweb.cgi?T=JS&amp;NEWS=n&amp;CSC=Y&amp;PAGE=booktext&amp;D=books&amp;AN=01266019$&amp;XPATH=/PG(0)&amp;EPUB=Y","http://ovidsp.ovid.com/ovidweb.cgi?T=JS&amp;NEWS=n&amp;CSC=Y&amp;PAGE=booktext&amp;D=books&amp;AN=01266019$&amp;XPATH=/PG(0)&amp;EPUB=Y")</f>
        <v>http://ovidsp.ovid.com/ovidweb.cgi?T=JS&amp;NEWS=n&amp;CSC=Y&amp;PAGE=booktext&amp;D=books&amp;AN=01266019$&amp;XPATH=/PG(0)&amp;EPUB=Y</v>
      </c>
      <c r="G1108" t="s">
        <v>2139</v>
      </c>
      <c r="H1108" t="s">
        <v>2974</v>
      </c>
      <c r="I1108">
        <v>1206726</v>
      </c>
      <c r="J1108" t="s">
        <v>3263</v>
      </c>
      <c r="K1108" t="s">
        <v>3680</v>
      </c>
    </row>
    <row r="1109" spans="1:11" x14ac:dyDescent="0.3">
      <c r="A1109" t="s">
        <v>4731</v>
      </c>
      <c r="B1109" t="s">
        <v>2473</v>
      </c>
      <c r="C1109" t="s">
        <v>4541</v>
      </c>
      <c r="D1109" t="s">
        <v>4111</v>
      </c>
      <c r="E1109" t="s">
        <v>1104</v>
      </c>
      <c r="F1109" s="1" t="str">
        <f>HYPERLINK("http://ovidsp.ovid.com/ovidweb.cgi?T=JS&amp;NEWS=n&amp;CSC=Y&amp;PAGE=booktext&amp;D=books&amp;AN=00140011$&amp;XPATH=/PG(0)&amp;EPUB=Y","http://ovidsp.ovid.com/ovidweb.cgi?T=JS&amp;NEWS=n&amp;CSC=Y&amp;PAGE=booktext&amp;D=books&amp;AN=00140011$&amp;XPATH=/PG(0)&amp;EPUB=Y")</f>
        <v>http://ovidsp.ovid.com/ovidweb.cgi?T=JS&amp;NEWS=n&amp;CSC=Y&amp;PAGE=booktext&amp;D=books&amp;AN=00140011$&amp;XPATH=/PG(0)&amp;EPUB=Y</v>
      </c>
      <c r="G1109" t="s">
        <v>2139</v>
      </c>
      <c r="H1109" t="s">
        <v>2974</v>
      </c>
      <c r="I1109">
        <v>1206726</v>
      </c>
      <c r="J1109" t="s">
        <v>3263</v>
      </c>
      <c r="K1109" t="s">
        <v>3979</v>
      </c>
    </row>
    <row r="1110" spans="1:11" x14ac:dyDescent="0.3">
      <c r="A1110" t="s">
        <v>4226</v>
      </c>
      <c r="B1110" t="s">
        <v>384</v>
      </c>
      <c r="C1110" t="s">
        <v>1525</v>
      </c>
      <c r="D1110" t="s">
        <v>4111</v>
      </c>
      <c r="E1110" t="s">
        <v>2223</v>
      </c>
      <c r="F1110" s="1" t="str">
        <f>HYPERLINK("http://ovidsp.ovid.com/ovidweb.cgi?T=JS&amp;NEWS=n&amp;CSC=Y&amp;PAGE=booktext&amp;D=books&amp;AN=01394382$&amp;XPATH=/PG(0)&amp;EPUB=Y","http://ovidsp.ovid.com/ovidweb.cgi?T=JS&amp;NEWS=n&amp;CSC=Y&amp;PAGE=booktext&amp;D=books&amp;AN=01394382$&amp;XPATH=/PG(0)&amp;EPUB=Y")</f>
        <v>http://ovidsp.ovid.com/ovidweb.cgi?T=JS&amp;NEWS=n&amp;CSC=Y&amp;PAGE=booktext&amp;D=books&amp;AN=01394382$&amp;XPATH=/PG(0)&amp;EPUB=Y</v>
      </c>
      <c r="G1110" t="s">
        <v>2139</v>
      </c>
      <c r="H1110" t="s">
        <v>2974</v>
      </c>
      <c r="I1110">
        <v>1206726</v>
      </c>
      <c r="J1110" t="s">
        <v>3263</v>
      </c>
      <c r="K1110" t="s">
        <v>3538</v>
      </c>
    </row>
    <row r="1111" spans="1:11" x14ac:dyDescent="0.3">
      <c r="A1111" t="s">
        <v>972</v>
      </c>
      <c r="B1111" t="s">
        <v>691</v>
      </c>
      <c r="C1111" t="s">
        <v>3628</v>
      </c>
      <c r="D1111" t="s">
        <v>4111</v>
      </c>
      <c r="E1111" t="s">
        <v>3387</v>
      </c>
      <c r="F1111" s="1" t="str">
        <f>HYPERLINK("http://ovidsp.ovid.com/ovidweb.cgi?T=JS&amp;NEWS=n&amp;CSC=Y&amp;PAGE=booktext&amp;D=books&amp;AN=01436891$&amp;XPATH=/PG(0)&amp;EPUB=Y","http://ovidsp.ovid.com/ovidweb.cgi?T=JS&amp;NEWS=n&amp;CSC=Y&amp;PAGE=booktext&amp;D=books&amp;AN=01436891$&amp;XPATH=/PG(0)&amp;EPUB=Y")</f>
        <v>http://ovidsp.ovid.com/ovidweb.cgi?T=JS&amp;NEWS=n&amp;CSC=Y&amp;PAGE=booktext&amp;D=books&amp;AN=01436891$&amp;XPATH=/PG(0)&amp;EPUB=Y</v>
      </c>
      <c r="G1111" t="s">
        <v>2139</v>
      </c>
      <c r="H1111" t="s">
        <v>2974</v>
      </c>
      <c r="I1111">
        <v>1206726</v>
      </c>
      <c r="J1111" t="s">
        <v>3263</v>
      </c>
      <c r="K1111" t="s">
        <v>3707</v>
      </c>
    </row>
    <row r="1112" spans="1:11" x14ac:dyDescent="0.3">
      <c r="A1112" t="s">
        <v>1003</v>
      </c>
      <c r="B1112" t="s">
        <v>2624</v>
      </c>
      <c r="C1112" t="s">
        <v>4068</v>
      </c>
      <c r="D1112" t="s">
        <v>4111</v>
      </c>
      <c r="E1112" t="s">
        <v>1104</v>
      </c>
      <c r="F1112" s="1" t="str">
        <f>HYPERLINK("http://ovidsp.ovid.com/ovidweb.cgi?T=JS&amp;NEWS=n&amp;CSC=Y&amp;PAGE=booktext&amp;D=books&amp;AN=01439425$&amp;XPATH=/PG(0)&amp;EPUB=Y","http://ovidsp.ovid.com/ovidweb.cgi?T=JS&amp;NEWS=n&amp;CSC=Y&amp;PAGE=booktext&amp;D=books&amp;AN=01439425$&amp;XPATH=/PG(0)&amp;EPUB=Y")</f>
        <v>http://ovidsp.ovid.com/ovidweb.cgi?T=JS&amp;NEWS=n&amp;CSC=Y&amp;PAGE=booktext&amp;D=books&amp;AN=01439425$&amp;XPATH=/PG(0)&amp;EPUB=Y</v>
      </c>
      <c r="G1112" t="s">
        <v>2139</v>
      </c>
      <c r="H1112" t="s">
        <v>2974</v>
      </c>
      <c r="I1112">
        <v>1206726</v>
      </c>
      <c r="J1112" t="s">
        <v>3263</v>
      </c>
      <c r="K1112" t="s">
        <v>2406</v>
      </c>
    </row>
    <row r="1113" spans="1:11" x14ac:dyDescent="0.3">
      <c r="A1113" t="s">
        <v>4172</v>
      </c>
      <c r="B1113" t="s">
        <v>569</v>
      </c>
      <c r="C1113" t="s">
        <v>710</v>
      </c>
      <c r="D1113" t="s">
        <v>4111</v>
      </c>
      <c r="E1113" t="s">
        <v>2876</v>
      </c>
      <c r="F1113" s="1" t="str">
        <f>HYPERLINK("http://ovidsp.ovid.com/ovidweb.cgi?T=JS&amp;NEWS=n&amp;CSC=Y&amp;PAGE=booktext&amp;D=books&amp;AN=01641768$&amp;XPATH=/PG(0)&amp;EPUB=Y","http://ovidsp.ovid.com/ovidweb.cgi?T=JS&amp;NEWS=n&amp;CSC=Y&amp;PAGE=booktext&amp;D=books&amp;AN=01641768$&amp;XPATH=/PG(0)&amp;EPUB=Y")</f>
        <v>http://ovidsp.ovid.com/ovidweb.cgi?T=JS&amp;NEWS=n&amp;CSC=Y&amp;PAGE=booktext&amp;D=books&amp;AN=01641768$&amp;XPATH=/PG(0)&amp;EPUB=Y</v>
      </c>
      <c r="G1113" t="s">
        <v>2139</v>
      </c>
      <c r="H1113" t="s">
        <v>2974</v>
      </c>
      <c r="I1113">
        <v>1206726</v>
      </c>
      <c r="J1113" t="s">
        <v>3263</v>
      </c>
      <c r="K1113" t="s">
        <v>2382</v>
      </c>
    </row>
    <row r="1114" spans="1:11" x14ac:dyDescent="0.3">
      <c r="A1114" t="s">
        <v>4172</v>
      </c>
      <c r="B1114" t="s">
        <v>1937</v>
      </c>
      <c r="C1114" t="s">
        <v>976</v>
      </c>
      <c r="D1114" t="s">
        <v>4111</v>
      </c>
      <c r="E1114" t="s">
        <v>3051</v>
      </c>
      <c r="F1114" s="1" t="str">
        <f>HYPERLINK("http://ovidsp.ovid.com/ovidweb.cgi?T=JS&amp;NEWS=n&amp;CSC=Y&amp;PAGE=booktext&amp;D=books&amp;AN=01382694$&amp;XPATH=/PG(0)&amp;EPUB=Y","http://ovidsp.ovid.com/ovidweb.cgi?T=JS&amp;NEWS=n&amp;CSC=Y&amp;PAGE=booktext&amp;D=books&amp;AN=01382694$&amp;XPATH=/PG(0)&amp;EPUB=Y")</f>
        <v>http://ovidsp.ovid.com/ovidweb.cgi?T=JS&amp;NEWS=n&amp;CSC=Y&amp;PAGE=booktext&amp;D=books&amp;AN=01382694$&amp;XPATH=/PG(0)&amp;EPUB=Y</v>
      </c>
      <c r="G1114" t="s">
        <v>2139</v>
      </c>
      <c r="H1114" t="s">
        <v>2974</v>
      </c>
      <c r="I1114">
        <v>1206726</v>
      </c>
      <c r="J1114" t="s">
        <v>3263</v>
      </c>
      <c r="K1114" t="s">
        <v>1905</v>
      </c>
    </row>
    <row r="1115" spans="1:11" x14ac:dyDescent="0.3">
      <c r="A1115" t="s">
        <v>2903</v>
      </c>
      <c r="B1115" t="s">
        <v>1742</v>
      </c>
      <c r="C1115" t="s">
        <v>4451</v>
      </c>
      <c r="D1115" t="s">
        <v>4111</v>
      </c>
      <c r="E1115" t="s">
        <v>2223</v>
      </c>
      <c r="F1115" s="1" t="str">
        <f>HYPERLINK("http://ovidsp.ovid.com/ovidweb.cgi?T=JS&amp;NEWS=n&amp;CSC=Y&amp;PAGE=booktext&amp;D=books&amp;AN=01382851$&amp;XPATH=/PG(0)&amp;EPUB=Y","http://ovidsp.ovid.com/ovidweb.cgi?T=JS&amp;NEWS=n&amp;CSC=Y&amp;PAGE=booktext&amp;D=books&amp;AN=01382851$&amp;XPATH=/PG(0)&amp;EPUB=Y")</f>
        <v>http://ovidsp.ovid.com/ovidweb.cgi?T=JS&amp;NEWS=n&amp;CSC=Y&amp;PAGE=booktext&amp;D=books&amp;AN=01382851$&amp;XPATH=/PG(0)&amp;EPUB=Y</v>
      </c>
      <c r="G1115" t="s">
        <v>2139</v>
      </c>
      <c r="H1115" t="s">
        <v>2974</v>
      </c>
      <c r="I1115">
        <v>1206726</v>
      </c>
      <c r="J1115" t="s">
        <v>3263</v>
      </c>
      <c r="K1115" t="s">
        <v>161</v>
      </c>
    </row>
    <row r="1116" spans="1:11" x14ac:dyDescent="0.3">
      <c r="A1116" t="s">
        <v>4018</v>
      </c>
      <c r="B1116" t="s">
        <v>2722</v>
      </c>
      <c r="C1116" t="s">
        <v>3991</v>
      </c>
      <c r="D1116" t="s">
        <v>4111</v>
      </c>
      <c r="E1116" t="s">
        <v>2223</v>
      </c>
      <c r="F1116" s="1" t="str">
        <f>HYPERLINK("http://ovidsp.ovid.com/ovidweb.cgi?T=JS&amp;NEWS=n&amp;CSC=Y&amp;PAGE=booktext&amp;D=books&amp;AN=01437546$&amp;XPATH=/PG(0)&amp;EPUB=Y","http://ovidsp.ovid.com/ovidweb.cgi?T=JS&amp;NEWS=n&amp;CSC=Y&amp;PAGE=booktext&amp;D=books&amp;AN=01437546$&amp;XPATH=/PG(0)&amp;EPUB=Y")</f>
        <v>http://ovidsp.ovid.com/ovidweb.cgi?T=JS&amp;NEWS=n&amp;CSC=Y&amp;PAGE=booktext&amp;D=books&amp;AN=01437546$&amp;XPATH=/PG(0)&amp;EPUB=Y</v>
      </c>
      <c r="G1116" t="s">
        <v>2139</v>
      </c>
      <c r="H1116" t="s">
        <v>2974</v>
      </c>
      <c r="I1116">
        <v>1206726</v>
      </c>
      <c r="J1116" t="s">
        <v>3263</v>
      </c>
      <c r="K1116" t="s">
        <v>3079</v>
      </c>
    </row>
    <row r="1117" spans="1:11" x14ac:dyDescent="0.3">
      <c r="A1117" t="s">
        <v>320</v>
      </c>
      <c r="B1117" t="s">
        <v>3670</v>
      </c>
      <c r="C1117" t="s">
        <v>2661</v>
      </c>
      <c r="D1117" t="s">
        <v>4111</v>
      </c>
      <c r="E1117" t="s">
        <v>404</v>
      </c>
      <c r="F1117" s="1" t="str">
        <f>HYPERLINK("http://ovidsp.ovid.com/ovidweb.cgi?T=JS&amp;NEWS=n&amp;CSC=Y&amp;PAGE=booktext&amp;D=books&amp;AN=01437581$&amp;XPATH=/PG(0)&amp;EPUB=Y","http://ovidsp.ovid.com/ovidweb.cgi?T=JS&amp;NEWS=n&amp;CSC=Y&amp;PAGE=booktext&amp;D=books&amp;AN=01437581$&amp;XPATH=/PG(0)&amp;EPUB=Y")</f>
        <v>http://ovidsp.ovid.com/ovidweb.cgi?T=JS&amp;NEWS=n&amp;CSC=Y&amp;PAGE=booktext&amp;D=books&amp;AN=01437581$&amp;XPATH=/PG(0)&amp;EPUB=Y</v>
      </c>
      <c r="G1117" t="s">
        <v>2139</v>
      </c>
      <c r="H1117" t="s">
        <v>2974</v>
      </c>
      <c r="I1117">
        <v>1206726</v>
      </c>
      <c r="J1117" t="s">
        <v>3263</v>
      </c>
      <c r="K1117" t="s">
        <v>3943</v>
      </c>
    </row>
    <row r="1118" spans="1:11" x14ac:dyDescent="0.3">
      <c r="A1118" t="s">
        <v>2284</v>
      </c>
      <c r="B1118" t="s">
        <v>3565</v>
      </c>
      <c r="C1118" t="s">
        <v>2702</v>
      </c>
      <c r="D1118" t="s">
        <v>4111</v>
      </c>
      <c r="E1118" t="s">
        <v>2223</v>
      </c>
      <c r="F1118" s="1" t="str">
        <f>HYPERLINK("http://ovidsp.ovid.com/ovidweb.cgi?T=JS&amp;NEWS=n&amp;CSC=Y&amp;PAGE=booktext&amp;D=books&amp;AN=01257044$&amp;XPATH=/PG(0)&amp;EPUB=Y","http://ovidsp.ovid.com/ovidweb.cgi?T=JS&amp;NEWS=n&amp;CSC=Y&amp;PAGE=booktext&amp;D=books&amp;AN=01257044$&amp;XPATH=/PG(0)&amp;EPUB=Y")</f>
        <v>http://ovidsp.ovid.com/ovidweb.cgi?T=JS&amp;NEWS=n&amp;CSC=Y&amp;PAGE=booktext&amp;D=books&amp;AN=01257044$&amp;XPATH=/PG(0)&amp;EPUB=Y</v>
      </c>
      <c r="G1118" t="s">
        <v>2139</v>
      </c>
      <c r="H1118" t="s">
        <v>2974</v>
      </c>
      <c r="I1118">
        <v>1206726</v>
      </c>
      <c r="J1118" t="s">
        <v>3263</v>
      </c>
      <c r="K1118" t="s">
        <v>686</v>
      </c>
    </row>
    <row r="1119" spans="1:11" x14ac:dyDescent="0.3">
      <c r="A1119" t="s">
        <v>1426</v>
      </c>
      <c r="B1119" t="s">
        <v>3262</v>
      </c>
      <c r="C1119" t="s">
        <v>2619</v>
      </c>
      <c r="D1119" t="s">
        <v>4111</v>
      </c>
      <c r="E1119" t="s">
        <v>2223</v>
      </c>
      <c r="F1119" s="1" t="str">
        <f>HYPERLINK("http://ovidsp.ovid.com/ovidweb.cgi?T=JS&amp;NEWS=n&amp;CSC=Y&amp;PAGE=booktext&amp;D=books&amp;AN=01337351$&amp;XPATH=/PG(0)&amp;EPUB=Y","http://ovidsp.ovid.com/ovidweb.cgi?T=JS&amp;NEWS=n&amp;CSC=Y&amp;PAGE=booktext&amp;D=books&amp;AN=01337351$&amp;XPATH=/PG(0)&amp;EPUB=Y")</f>
        <v>http://ovidsp.ovid.com/ovidweb.cgi?T=JS&amp;NEWS=n&amp;CSC=Y&amp;PAGE=booktext&amp;D=books&amp;AN=01337351$&amp;XPATH=/PG(0)&amp;EPUB=Y</v>
      </c>
      <c r="G1119" t="s">
        <v>2139</v>
      </c>
      <c r="H1119" t="s">
        <v>2974</v>
      </c>
      <c r="I1119">
        <v>1206726</v>
      </c>
      <c r="J1119" t="s">
        <v>3263</v>
      </c>
      <c r="K1119" t="s">
        <v>1143</v>
      </c>
    </row>
    <row r="1120" spans="1:11" x14ac:dyDescent="0.3">
      <c r="A1120" t="s">
        <v>1631</v>
      </c>
      <c r="B1120" t="s">
        <v>1412</v>
      </c>
      <c r="C1120" t="s">
        <v>2679</v>
      </c>
      <c r="D1120" t="s">
        <v>4111</v>
      </c>
      <c r="E1120" t="s">
        <v>1104</v>
      </c>
      <c r="F1120" s="1" t="str">
        <f>HYPERLINK("http://ovidsp.ovid.com/ovidweb.cgi?T=JS&amp;NEWS=n&amp;CSC=Y&amp;PAGE=booktext&amp;D=books&amp;AN=01437409$&amp;XPATH=/PG(0)&amp;EPUB=Y","http://ovidsp.ovid.com/ovidweb.cgi?T=JS&amp;NEWS=n&amp;CSC=Y&amp;PAGE=booktext&amp;D=books&amp;AN=01437409$&amp;XPATH=/PG(0)&amp;EPUB=Y")</f>
        <v>http://ovidsp.ovid.com/ovidweb.cgi?T=JS&amp;NEWS=n&amp;CSC=Y&amp;PAGE=booktext&amp;D=books&amp;AN=01437409$&amp;XPATH=/PG(0)&amp;EPUB=Y</v>
      </c>
      <c r="G1120" t="s">
        <v>2139</v>
      </c>
      <c r="H1120" t="s">
        <v>2974</v>
      </c>
      <c r="I1120">
        <v>1206726</v>
      </c>
      <c r="J1120" t="s">
        <v>3263</v>
      </c>
      <c r="K1120" t="s">
        <v>3422</v>
      </c>
    </row>
    <row r="1121" spans="1:11" x14ac:dyDescent="0.3">
      <c r="A1121" t="s">
        <v>4453</v>
      </c>
      <c r="B1121" t="s">
        <v>1078</v>
      </c>
      <c r="C1121" t="s">
        <v>3989</v>
      </c>
      <c r="D1121" t="s">
        <v>4111</v>
      </c>
      <c r="E1121" t="s">
        <v>2223</v>
      </c>
      <c r="F1121" s="1" t="str">
        <f>HYPERLINK("http://ovidsp.ovid.com/ovidweb.cgi?T=JS&amp;NEWS=n&amp;CSC=Y&amp;PAGE=booktext&amp;D=books&amp;AN=01382534$&amp;XPATH=/PG(0)&amp;EPUB=Y","http://ovidsp.ovid.com/ovidweb.cgi?T=JS&amp;NEWS=n&amp;CSC=Y&amp;PAGE=booktext&amp;D=books&amp;AN=01382534$&amp;XPATH=/PG(0)&amp;EPUB=Y")</f>
        <v>http://ovidsp.ovid.com/ovidweb.cgi?T=JS&amp;NEWS=n&amp;CSC=Y&amp;PAGE=booktext&amp;D=books&amp;AN=01382534$&amp;XPATH=/PG(0)&amp;EPUB=Y</v>
      </c>
      <c r="G1121" t="s">
        <v>2139</v>
      </c>
      <c r="H1121" t="s">
        <v>2974</v>
      </c>
      <c r="I1121">
        <v>1206726</v>
      </c>
      <c r="J1121" t="s">
        <v>3263</v>
      </c>
      <c r="K1121" t="s">
        <v>179</v>
      </c>
    </row>
    <row r="1122" spans="1:11" x14ac:dyDescent="0.3">
      <c r="A1122" t="s">
        <v>834</v>
      </c>
      <c r="B1122" t="s">
        <v>389</v>
      </c>
      <c r="C1122" t="s">
        <v>3315</v>
      </c>
      <c r="D1122" t="s">
        <v>4111</v>
      </c>
      <c r="E1122" t="s">
        <v>2223</v>
      </c>
      <c r="F1122" s="1" t="str">
        <f>HYPERLINK("http://ovidsp.ovid.com/ovidweb.cgi?T=JS&amp;NEWS=n&amp;CSC=Y&amp;PAGE=booktext&amp;D=books&amp;AN=01382707$&amp;XPATH=/PG(0)&amp;EPUB=Y","http://ovidsp.ovid.com/ovidweb.cgi?T=JS&amp;NEWS=n&amp;CSC=Y&amp;PAGE=booktext&amp;D=books&amp;AN=01382707$&amp;XPATH=/PG(0)&amp;EPUB=Y")</f>
        <v>http://ovidsp.ovid.com/ovidweb.cgi?T=JS&amp;NEWS=n&amp;CSC=Y&amp;PAGE=booktext&amp;D=books&amp;AN=01382707$&amp;XPATH=/PG(0)&amp;EPUB=Y</v>
      </c>
      <c r="G1122" t="s">
        <v>2139</v>
      </c>
      <c r="H1122" t="s">
        <v>2974</v>
      </c>
      <c r="I1122">
        <v>1206726</v>
      </c>
      <c r="J1122" t="s">
        <v>3263</v>
      </c>
      <c r="K1122" t="s">
        <v>4235</v>
      </c>
    </row>
    <row r="1123" spans="1:11" x14ac:dyDescent="0.3">
      <c r="A1123" t="s">
        <v>885</v>
      </c>
      <c r="B1123" t="s">
        <v>2553</v>
      </c>
      <c r="C1123" t="s">
        <v>1173</v>
      </c>
      <c r="D1123" t="s">
        <v>4111</v>
      </c>
      <c r="E1123" t="s">
        <v>1104</v>
      </c>
      <c r="F1123" s="1" t="str">
        <f>HYPERLINK("http://ovidsp.ovid.com/ovidweb.cgi?T=JS&amp;NEWS=n&amp;CSC=Y&amp;PAGE=booktext&amp;D=books&amp;AN=01337214$&amp;XPATH=/PG(0)&amp;EPUB=Y","http://ovidsp.ovid.com/ovidweb.cgi?T=JS&amp;NEWS=n&amp;CSC=Y&amp;PAGE=booktext&amp;D=books&amp;AN=01337214$&amp;XPATH=/PG(0)&amp;EPUB=Y")</f>
        <v>http://ovidsp.ovid.com/ovidweb.cgi?T=JS&amp;NEWS=n&amp;CSC=Y&amp;PAGE=booktext&amp;D=books&amp;AN=01337214$&amp;XPATH=/PG(0)&amp;EPUB=Y</v>
      </c>
      <c r="G1123" t="s">
        <v>2139</v>
      </c>
      <c r="H1123" t="s">
        <v>2974</v>
      </c>
      <c r="I1123">
        <v>1206726</v>
      </c>
      <c r="J1123" t="s">
        <v>3263</v>
      </c>
      <c r="K1123" t="s">
        <v>2314</v>
      </c>
    </row>
    <row r="1124" spans="1:11" x14ac:dyDescent="0.3">
      <c r="A1124" t="s">
        <v>885</v>
      </c>
      <c r="B1124" t="s">
        <v>2361</v>
      </c>
      <c r="C1124" t="s">
        <v>2507</v>
      </c>
      <c r="D1124" t="s">
        <v>4111</v>
      </c>
      <c r="E1124" t="s">
        <v>3051</v>
      </c>
      <c r="F1124" s="1" t="str">
        <f>HYPERLINK("http://ovidsp.ovid.com/ovidweb.cgi?T=JS&amp;NEWS=n&amp;CSC=Y&amp;PAGE=booktext&amp;D=books&amp;AN=01641775$&amp;XPATH=/PG(0)&amp;EPUB=Y","http://ovidsp.ovid.com/ovidweb.cgi?T=JS&amp;NEWS=n&amp;CSC=Y&amp;PAGE=booktext&amp;D=books&amp;AN=01641775$&amp;XPATH=/PG(0)&amp;EPUB=Y")</f>
        <v>http://ovidsp.ovid.com/ovidweb.cgi?T=JS&amp;NEWS=n&amp;CSC=Y&amp;PAGE=booktext&amp;D=books&amp;AN=01641775$&amp;XPATH=/PG(0)&amp;EPUB=Y</v>
      </c>
      <c r="G1124" t="s">
        <v>2139</v>
      </c>
      <c r="H1124" t="s">
        <v>2974</v>
      </c>
      <c r="I1124">
        <v>1206726</v>
      </c>
      <c r="J1124" t="s">
        <v>3263</v>
      </c>
      <c r="K1124" t="s">
        <v>1978</v>
      </c>
    </row>
    <row r="1125" spans="1:11" x14ac:dyDescent="0.3">
      <c r="A1125" t="s">
        <v>4116</v>
      </c>
      <c r="B1125" t="s">
        <v>153</v>
      </c>
      <c r="C1125" t="s">
        <v>876</v>
      </c>
      <c r="D1125" t="s">
        <v>4111</v>
      </c>
      <c r="E1125" t="s">
        <v>404</v>
      </c>
      <c r="F1125" s="1" t="str">
        <f>HYPERLINK("http://ovidsp.ovid.com/ovidweb.cgi?T=JS&amp;NEWS=n&amp;CSC=Y&amp;PAGE=booktext&amp;D=books&amp;AN=01439427$&amp;XPATH=/PG(0)&amp;EPUB=Y","http://ovidsp.ovid.com/ovidweb.cgi?T=JS&amp;NEWS=n&amp;CSC=Y&amp;PAGE=booktext&amp;D=books&amp;AN=01439427$&amp;XPATH=/PG(0)&amp;EPUB=Y")</f>
        <v>http://ovidsp.ovid.com/ovidweb.cgi?T=JS&amp;NEWS=n&amp;CSC=Y&amp;PAGE=booktext&amp;D=books&amp;AN=01439427$&amp;XPATH=/PG(0)&amp;EPUB=Y</v>
      </c>
      <c r="G1125" t="s">
        <v>2139</v>
      </c>
      <c r="H1125" t="s">
        <v>2974</v>
      </c>
      <c r="I1125">
        <v>1206726</v>
      </c>
      <c r="J1125" t="s">
        <v>3263</v>
      </c>
      <c r="K1125" t="s">
        <v>1765</v>
      </c>
    </row>
    <row r="1126" spans="1:11" x14ac:dyDescent="0.3">
      <c r="A1126" t="s">
        <v>2135</v>
      </c>
      <c r="B1126" t="s">
        <v>3059</v>
      </c>
      <c r="C1126" t="s">
        <v>2164</v>
      </c>
      <c r="D1126" t="s">
        <v>4111</v>
      </c>
      <c r="E1126" t="s">
        <v>2223</v>
      </c>
      <c r="F1126" s="1" t="str">
        <f>HYPERLINK("http://ovidsp.ovid.com/ovidweb.cgi?T=JS&amp;NEWS=n&amp;CSC=Y&amp;PAGE=booktext&amp;D=books&amp;AN=01382708$&amp;XPATH=/PG(0)&amp;EPUB=Y","http://ovidsp.ovid.com/ovidweb.cgi?T=JS&amp;NEWS=n&amp;CSC=Y&amp;PAGE=booktext&amp;D=books&amp;AN=01382708$&amp;XPATH=/PG(0)&amp;EPUB=Y")</f>
        <v>http://ovidsp.ovid.com/ovidweb.cgi?T=JS&amp;NEWS=n&amp;CSC=Y&amp;PAGE=booktext&amp;D=books&amp;AN=01382708$&amp;XPATH=/PG(0)&amp;EPUB=Y</v>
      </c>
      <c r="G1126" t="s">
        <v>2139</v>
      </c>
      <c r="H1126" t="s">
        <v>2974</v>
      </c>
      <c r="I1126">
        <v>1206726</v>
      </c>
      <c r="J1126" t="s">
        <v>3263</v>
      </c>
      <c r="K1126" t="s">
        <v>3127</v>
      </c>
    </row>
    <row r="1127" spans="1:11" x14ac:dyDescent="0.3">
      <c r="A1127" t="s">
        <v>3411</v>
      </c>
      <c r="B1127" t="s">
        <v>4072</v>
      </c>
      <c r="C1127" t="s">
        <v>266</v>
      </c>
      <c r="D1127" t="s">
        <v>4111</v>
      </c>
      <c r="E1127" t="s">
        <v>2223</v>
      </c>
      <c r="F1127" s="1" t="str">
        <f>HYPERLINK("http://ovidsp.ovid.com/ovidweb.cgi?T=JS&amp;NEWS=n&amp;CSC=Y&amp;PAGE=booktext&amp;D=books&amp;AN=01279771$&amp;XPATH=/PG(0)&amp;EPUB=Y","http://ovidsp.ovid.com/ovidweb.cgi?T=JS&amp;NEWS=n&amp;CSC=Y&amp;PAGE=booktext&amp;D=books&amp;AN=01279771$&amp;XPATH=/PG(0)&amp;EPUB=Y")</f>
        <v>http://ovidsp.ovid.com/ovidweb.cgi?T=JS&amp;NEWS=n&amp;CSC=Y&amp;PAGE=booktext&amp;D=books&amp;AN=01279771$&amp;XPATH=/PG(0)&amp;EPUB=Y</v>
      </c>
      <c r="G1127" t="s">
        <v>2139</v>
      </c>
      <c r="H1127" t="s">
        <v>2974</v>
      </c>
      <c r="I1127">
        <v>1206726</v>
      </c>
      <c r="J1127" t="s">
        <v>3263</v>
      </c>
      <c r="K1127" t="s">
        <v>3482</v>
      </c>
    </row>
    <row r="1128" spans="1:11" x14ac:dyDescent="0.3">
      <c r="A1128" t="s">
        <v>2218</v>
      </c>
      <c r="B1128" t="s">
        <v>4529</v>
      </c>
      <c r="C1128" t="s">
        <v>1255</v>
      </c>
      <c r="D1128" t="s">
        <v>4111</v>
      </c>
      <c r="E1128" t="s">
        <v>2223</v>
      </c>
      <c r="F1128" s="1" t="str">
        <f>HYPERLINK("http://ovidsp.ovid.com/ovidweb.cgi?T=JS&amp;NEWS=n&amp;CSC=Y&amp;PAGE=booktext&amp;D=books&amp;AN=01429662$&amp;XPATH=/PG(0)&amp;EPUB=Y","http://ovidsp.ovid.com/ovidweb.cgi?T=JS&amp;NEWS=n&amp;CSC=Y&amp;PAGE=booktext&amp;D=books&amp;AN=01429662$&amp;XPATH=/PG(0)&amp;EPUB=Y")</f>
        <v>http://ovidsp.ovid.com/ovidweb.cgi?T=JS&amp;NEWS=n&amp;CSC=Y&amp;PAGE=booktext&amp;D=books&amp;AN=01429662$&amp;XPATH=/PG(0)&amp;EPUB=Y</v>
      </c>
      <c r="G1128" t="s">
        <v>2139</v>
      </c>
      <c r="H1128" t="s">
        <v>2974</v>
      </c>
      <c r="I1128">
        <v>1206726</v>
      </c>
      <c r="J1128" t="s">
        <v>3263</v>
      </c>
      <c r="K1128" t="s">
        <v>1553</v>
      </c>
    </row>
    <row r="1129" spans="1:11" x14ac:dyDescent="0.3">
      <c r="A1129" t="s">
        <v>2522</v>
      </c>
      <c r="B1129" t="s">
        <v>254</v>
      </c>
      <c r="C1129" t="s">
        <v>2477</v>
      </c>
      <c r="D1129" t="s">
        <v>4111</v>
      </c>
      <c r="E1129" t="s">
        <v>3051</v>
      </c>
      <c r="F1129" s="1" t="str">
        <f>HYPERLINK("http://ovidsp.ovid.com/ovidweb.cgi?T=JS&amp;NEWS=n&amp;CSC=Y&amp;PAGE=booktext&amp;D=books&amp;AN=01382709$&amp;XPATH=/PG(0)&amp;EPUB=Y","http://ovidsp.ovid.com/ovidweb.cgi?T=JS&amp;NEWS=n&amp;CSC=Y&amp;PAGE=booktext&amp;D=books&amp;AN=01382709$&amp;XPATH=/PG(0)&amp;EPUB=Y")</f>
        <v>http://ovidsp.ovid.com/ovidweb.cgi?T=JS&amp;NEWS=n&amp;CSC=Y&amp;PAGE=booktext&amp;D=books&amp;AN=01382709$&amp;XPATH=/PG(0)&amp;EPUB=Y</v>
      </c>
      <c r="G1129" t="s">
        <v>2139</v>
      </c>
      <c r="H1129" t="s">
        <v>2974</v>
      </c>
      <c r="I1129">
        <v>1206726</v>
      </c>
      <c r="J1129" t="s">
        <v>3263</v>
      </c>
      <c r="K1129" t="s">
        <v>4075</v>
      </c>
    </row>
    <row r="1130" spans="1:11" x14ac:dyDescent="0.3">
      <c r="A1130" t="s">
        <v>449</v>
      </c>
      <c r="B1130" t="s">
        <v>3646</v>
      </c>
      <c r="C1130" t="s">
        <v>4279</v>
      </c>
      <c r="D1130" t="s">
        <v>4111</v>
      </c>
      <c r="E1130" t="s">
        <v>1104</v>
      </c>
      <c r="F1130" s="1" t="str">
        <f>HYPERLINK("http://ovidsp.ovid.com/ovidweb.cgi?T=JS&amp;NEWS=n&amp;CSC=Y&amp;PAGE=booktext&amp;D=books&amp;AN=01438895$&amp;XPATH=/PG(0)&amp;EPUB=Y","http://ovidsp.ovid.com/ovidweb.cgi?T=JS&amp;NEWS=n&amp;CSC=Y&amp;PAGE=booktext&amp;D=books&amp;AN=01438895$&amp;XPATH=/PG(0)&amp;EPUB=Y")</f>
        <v>http://ovidsp.ovid.com/ovidweb.cgi?T=JS&amp;NEWS=n&amp;CSC=Y&amp;PAGE=booktext&amp;D=books&amp;AN=01438895$&amp;XPATH=/PG(0)&amp;EPUB=Y</v>
      </c>
      <c r="G1130" t="s">
        <v>2139</v>
      </c>
      <c r="H1130" t="s">
        <v>2974</v>
      </c>
      <c r="I1130">
        <v>1206726</v>
      </c>
      <c r="J1130" t="s">
        <v>3263</v>
      </c>
      <c r="K1130" t="s">
        <v>2506</v>
      </c>
    </row>
    <row r="1131" spans="1:11" x14ac:dyDescent="0.3">
      <c r="A1131" t="s">
        <v>4629</v>
      </c>
      <c r="B1131" t="s">
        <v>2616</v>
      </c>
      <c r="C1131" t="s">
        <v>1290</v>
      </c>
      <c r="D1131" t="s">
        <v>4111</v>
      </c>
      <c r="E1131" t="s">
        <v>3387</v>
      </c>
      <c r="F1131" s="1" t="str">
        <f>HYPERLINK("http://ovidsp.ovid.com/ovidweb.cgi?T=JS&amp;NEWS=n&amp;CSC=Y&amp;PAGE=booktext&amp;D=books&amp;AN=01382710$&amp;XPATH=/PG(0)&amp;EPUB=Y","http://ovidsp.ovid.com/ovidweb.cgi?T=JS&amp;NEWS=n&amp;CSC=Y&amp;PAGE=booktext&amp;D=books&amp;AN=01382710$&amp;XPATH=/PG(0)&amp;EPUB=Y")</f>
        <v>http://ovidsp.ovid.com/ovidweb.cgi?T=JS&amp;NEWS=n&amp;CSC=Y&amp;PAGE=booktext&amp;D=books&amp;AN=01382710$&amp;XPATH=/PG(0)&amp;EPUB=Y</v>
      </c>
      <c r="G1131" t="s">
        <v>2139</v>
      </c>
      <c r="H1131" t="s">
        <v>2974</v>
      </c>
      <c r="I1131">
        <v>1206726</v>
      </c>
      <c r="J1131" t="s">
        <v>3263</v>
      </c>
      <c r="K1131" t="s">
        <v>2056</v>
      </c>
    </row>
    <row r="1132" spans="1:11" x14ac:dyDescent="0.3">
      <c r="A1132" t="s">
        <v>3490</v>
      </c>
      <c r="B1132" t="s">
        <v>4484</v>
      </c>
      <c r="C1132" t="s">
        <v>3866</v>
      </c>
      <c r="D1132" t="s">
        <v>4111</v>
      </c>
      <c r="E1132" t="s">
        <v>2223</v>
      </c>
      <c r="F1132" s="1" t="str">
        <f>HYPERLINK("http://ovidsp.ovid.com/ovidweb.cgi?T=JS&amp;NEWS=n&amp;CSC=Y&amp;PAGE=booktext&amp;D=books&amp;AN=01382702$&amp;XPATH=/PG(0)&amp;EPUB=Y","http://ovidsp.ovid.com/ovidweb.cgi?T=JS&amp;NEWS=n&amp;CSC=Y&amp;PAGE=booktext&amp;D=books&amp;AN=01382702$&amp;XPATH=/PG(0)&amp;EPUB=Y")</f>
        <v>http://ovidsp.ovid.com/ovidweb.cgi?T=JS&amp;NEWS=n&amp;CSC=Y&amp;PAGE=booktext&amp;D=books&amp;AN=01382702$&amp;XPATH=/PG(0)&amp;EPUB=Y</v>
      </c>
      <c r="G1132" t="s">
        <v>2139</v>
      </c>
      <c r="H1132" t="s">
        <v>2974</v>
      </c>
      <c r="I1132">
        <v>1206726</v>
      </c>
      <c r="J1132" t="s">
        <v>3263</v>
      </c>
      <c r="K1132" t="s">
        <v>357</v>
      </c>
    </row>
    <row r="1133" spans="1:11" x14ac:dyDescent="0.3">
      <c r="A1133" t="s">
        <v>3364</v>
      </c>
      <c r="B1133" t="s">
        <v>1938</v>
      </c>
      <c r="C1133" t="s">
        <v>1107</v>
      </c>
      <c r="D1133" t="s">
        <v>4111</v>
      </c>
      <c r="E1133" t="s">
        <v>404</v>
      </c>
      <c r="F1133" s="1" t="str">
        <f>HYPERLINK("http://ovidsp.ovid.com/ovidweb.cgi?T=JS&amp;NEWS=n&amp;CSC=Y&amp;PAGE=booktext&amp;D=books&amp;AN=01382498$&amp;XPATH=/PG(0)&amp;EPUB=Y","http://ovidsp.ovid.com/ovidweb.cgi?T=JS&amp;NEWS=n&amp;CSC=Y&amp;PAGE=booktext&amp;D=books&amp;AN=01382498$&amp;XPATH=/PG(0)&amp;EPUB=Y")</f>
        <v>http://ovidsp.ovid.com/ovidweb.cgi?T=JS&amp;NEWS=n&amp;CSC=Y&amp;PAGE=booktext&amp;D=books&amp;AN=01382498$&amp;XPATH=/PG(0)&amp;EPUB=Y</v>
      </c>
      <c r="G1133" t="s">
        <v>2139</v>
      </c>
      <c r="H1133" t="s">
        <v>2974</v>
      </c>
      <c r="I1133">
        <v>1206726</v>
      </c>
      <c r="J1133" t="s">
        <v>3263</v>
      </c>
      <c r="K1133" t="s">
        <v>2593</v>
      </c>
    </row>
    <row r="1134" spans="1:11" x14ac:dyDescent="0.3">
      <c r="A1134" t="s">
        <v>967</v>
      </c>
      <c r="B1134" t="s">
        <v>884</v>
      </c>
      <c r="C1134" t="s">
        <v>3937</v>
      </c>
      <c r="D1134" t="s">
        <v>4111</v>
      </c>
      <c r="E1134" t="s">
        <v>2223</v>
      </c>
      <c r="F1134" s="1" t="str">
        <f>HYPERLINK("http://ovidsp.ovid.com/ovidweb.cgi?T=JS&amp;NEWS=n&amp;CSC=Y&amp;PAGE=booktext&amp;D=books&amp;AN=01429406$&amp;XPATH=/PG(0)&amp;EPUB=Y","http://ovidsp.ovid.com/ovidweb.cgi?T=JS&amp;NEWS=n&amp;CSC=Y&amp;PAGE=booktext&amp;D=books&amp;AN=01429406$&amp;XPATH=/PG(0)&amp;EPUB=Y")</f>
        <v>http://ovidsp.ovid.com/ovidweb.cgi?T=JS&amp;NEWS=n&amp;CSC=Y&amp;PAGE=booktext&amp;D=books&amp;AN=01429406$&amp;XPATH=/PG(0)&amp;EPUB=Y</v>
      </c>
      <c r="G1134" t="s">
        <v>2139</v>
      </c>
      <c r="H1134" t="s">
        <v>2974</v>
      </c>
      <c r="I1134">
        <v>1206726</v>
      </c>
      <c r="J1134" t="s">
        <v>3263</v>
      </c>
      <c r="K1134" t="s">
        <v>281</v>
      </c>
    </row>
    <row r="1135" spans="1:11" x14ac:dyDescent="0.3">
      <c r="A1135" t="s">
        <v>906</v>
      </c>
      <c r="B1135" t="s">
        <v>2786</v>
      </c>
      <c r="C1135" t="s">
        <v>4126</v>
      </c>
      <c r="D1135" t="s">
        <v>4111</v>
      </c>
      <c r="E1135" t="s">
        <v>1104</v>
      </c>
      <c r="F1135" s="1" t="str">
        <f>HYPERLINK("http://ovidsp.ovid.com/ovidweb.cgi?T=JS&amp;NEWS=n&amp;CSC=Y&amp;PAGE=booktext&amp;D=books&amp;AN=01337354$&amp;XPATH=/PG(0)&amp;EPUB=Y","http://ovidsp.ovid.com/ovidweb.cgi?T=JS&amp;NEWS=n&amp;CSC=Y&amp;PAGE=booktext&amp;D=books&amp;AN=01337354$&amp;XPATH=/PG(0)&amp;EPUB=Y")</f>
        <v>http://ovidsp.ovid.com/ovidweb.cgi?T=JS&amp;NEWS=n&amp;CSC=Y&amp;PAGE=booktext&amp;D=books&amp;AN=01337354$&amp;XPATH=/PG(0)&amp;EPUB=Y</v>
      </c>
      <c r="G1135" t="s">
        <v>2139</v>
      </c>
      <c r="H1135" t="s">
        <v>2974</v>
      </c>
      <c r="I1135">
        <v>1206726</v>
      </c>
      <c r="J1135" t="s">
        <v>3263</v>
      </c>
      <c r="K1135" t="s">
        <v>1193</v>
      </c>
    </row>
    <row r="1136" spans="1:11" x14ac:dyDescent="0.3">
      <c r="A1136" t="s">
        <v>798</v>
      </c>
      <c r="B1136" t="s">
        <v>2606</v>
      </c>
      <c r="C1136" t="s">
        <v>2351</v>
      </c>
      <c r="D1136" t="s">
        <v>4111</v>
      </c>
      <c r="E1136" t="s">
        <v>3051</v>
      </c>
      <c r="F1136" s="1" t="str">
        <f>HYPERLINK("http://ovidsp.ovid.com/ovidweb.cgi?T=JS&amp;NEWS=n&amp;CSC=Y&amp;PAGE=booktext&amp;D=books&amp;AN=01279773$&amp;XPATH=/PG(0)&amp;EPUB=Y","http://ovidsp.ovid.com/ovidweb.cgi?T=JS&amp;NEWS=n&amp;CSC=Y&amp;PAGE=booktext&amp;D=books&amp;AN=01279773$&amp;XPATH=/PG(0)&amp;EPUB=Y")</f>
        <v>http://ovidsp.ovid.com/ovidweb.cgi?T=JS&amp;NEWS=n&amp;CSC=Y&amp;PAGE=booktext&amp;D=books&amp;AN=01279773$&amp;XPATH=/PG(0)&amp;EPUB=Y</v>
      </c>
      <c r="G1136" t="s">
        <v>2139</v>
      </c>
      <c r="H1136" t="s">
        <v>2974</v>
      </c>
      <c r="I1136">
        <v>1206726</v>
      </c>
      <c r="J1136" t="s">
        <v>3263</v>
      </c>
      <c r="K1136" t="s">
        <v>4335</v>
      </c>
    </row>
    <row r="1137" spans="1:11" x14ac:dyDescent="0.3">
      <c r="A1137" t="s">
        <v>4003</v>
      </c>
      <c r="B1137" t="s">
        <v>1179</v>
      </c>
      <c r="C1137" t="s">
        <v>2516</v>
      </c>
      <c r="D1137" t="s">
        <v>4111</v>
      </c>
      <c r="E1137" t="s">
        <v>404</v>
      </c>
      <c r="F1137" s="1" t="str">
        <f>HYPERLINK("http://ovidsp.ovid.com/ovidweb.cgi?T=JS&amp;NEWS=n&amp;CSC=Y&amp;PAGE=booktext&amp;D=books&amp;AN=01437583$&amp;XPATH=/PG(0)&amp;EPUB=Y","http://ovidsp.ovid.com/ovidweb.cgi?T=JS&amp;NEWS=n&amp;CSC=Y&amp;PAGE=booktext&amp;D=books&amp;AN=01437583$&amp;XPATH=/PG(0)&amp;EPUB=Y")</f>
        <v>http://ovidsp.ovid.com/ovidweb.cgi?T=JS&amp;NEWS=n&amp;CSC=Y&amp;PAGE=booktext&amp;D=books&amp;AN=01437583$&amp;XPATH=/PG(0)&amp;EPUB=Y</v>
      </c>
      <c r="G1137" t="s">
        <v>2139</v>
      </c>
      <c r="H1137" t="s">
        <v>2974</v>
      </c>
      <c r="I1137">
        <v>1206726</v>
      </c>
      <c r="J1137" t="s">
        <v>3263</v>
      </c>
      <c r="K1137" t="s">
        <v>706</v>
      </c>
    </row>
    <row r="1138" spans="1:11" x14ac:dyDescent="0.3">
      <c r="A1138" t="s">
        <v>2510</v>
      </c>
      <c r="B1138" t="s">
        <v>2379</v>
      </c>
      <c r="C1138" t="s">
        <v>1131</v>
      </c>
      <c r="D1138" t="s">
        <v>4111</v>
      </c>
      <c r="E1138" t="s">
        <v>2223</v>
      </c>
      <c r="F1138" s="1" t="str">
        <f>HYPERLINK("http://ovidsp.ovid.com/ovidweb.cgi?T=JS&amp;NEWS=n&amp;CSC=Y&amp;PAGE=booktext&amp;D=books&amp;AN=01382711$&amp;XPATH=/PG(0)&amp;EPUB=Y","http://ovidsp.ovid.com/ovidweb.cgi?T=JS&amp;NEWS=n&amp;CSC=Y&amp;PAGE=booktext&amp;D=books&amp;AN=01382711$&amp;XPATH=/PG(0)&amp;EPUB=Y")</f>
        <v>http://ovidsp.ovid.com/ovidweb.cgi?T=JS&amp;NEWS=n&amp;CSC=Y&amp;PAGE=booktext&amp;D=books&amp;AN=01382711$&amp;XPATH=/PG(0)&amp;EPUB=Y</v>
      </c>
      <c r="G1138" t="s">
        <v>2139</v>
      </c>
      <c r="H1138" t="s">
        <v>2974</v>
      </c>
      <c r="I1138">
        <v>1206726</v>
      </c>
      <c r="J1138" t="s">
        <v>3263</v>
      </c>
      <c r="K1138" t="s">
        <v>745</v>
      </c>
    </row>
    <row r="1139" spans="1:11" x14ac:dyDescent="0.3">
      <c r="A1139" t="s">
        <v>2112</v>
      </c>
      <c r="B1139" t="s">
        <v>3744</v>
      </c>
      <c r="C1139" t="s">
        <v>3207</v>
      </c>
      <c r="D1139" t="s">
        <v>4111</v>
      </c>
      <c r="E1139" t="s">
        <v>2223</v>
      </c>
      <c r="F1139" s="1" t="str">
        <f>HYPERLINK("http://ovidsp.ovid.com/ovidweb.cgi?T=JS&amp;NEWS=n&amp;CSC=Y&amp;PAGE=booktext&amp;D=books&amp;AN=01382712$&amp;XPATH=/PG(0)&amp;EPUB=Y","http://ovidsp.ovid.com/ovidweb.cgi?T=JS&amp;NEWS=n&amp;CSC=Y&amp;PAGE=booktext&amp;D=books&amp;AN=01382712$&amp;XPATH=/PG(0)&amp;EPUB=Y")</f>
        <v>http://ovidsp.ovid.com/ovidweb.cgi?T=JS&amp;NEWS=n&amp;CSC=Y&amp;PAGE=booktext&amp;D=books&amp;AN=01382712$&amp;XPATH=/PG(0)&amp;EPUB=Y</v>
      </c>
      <c r="G1139" t="s">
        <v>2139</v>
      </c>
      <c r="H1139" t="s">
        <v>2974</v>
      </c>
      <c r="I1139">
        <v>1206726</v>
      </c>
      <c r="J1139" t="s">
        <v>3263</v>
      </c>
      <c r="K1139" t="s">
        <v>1924</v>
      </c>
    </row>
    <row r="1140" spans="1:11" x14ac:dyDescent="0.3">
      <c r="A1140" t="s">
        <v>1103</v>
      </c>
      <c r="B1140" t="s">
        <v>1732</v>
      </c>
      <c r="C1140" t="s">
        <v>2922</v>
      </c>
      <c r="D1140" t="s">
        <v>4111</v>
      </c>
      <c r="E1140" t="s">
        <v>2223</v>
      </c>
      <c r="F1140" s="1" t="str">
        <f>HYPERLINK("http://ovidsp.ovid.com/ovidweb.cgi?T=JS&amp;NEWS=n&amp;CSC=Y&amp;PAGE=booktext&amp;D=books&amp;AN=01257046$&amp;XPATH=/PG(0)&amp;EPUB=Y","http://ovidsp.ovid.com/ovidweb.cgi?T=JS&amp;NEWS=n&amp;CSC=Y&amp;PAGE=booktext&amp;D=books&amp;AN=01257046$&amp;XPATH=/PG(0)&amp;EPUB=Y")</f>
        <v>http://ovidsp.ovid.com/ovidweb.cgi?T=JS&amp;NEWS=n&amp;CSC=Y&amp;PAGE=booktext&amp;D=books&amp;AN=01257046$&amp;XPATH=/PG(0)&amp;EPUB=Y</v>
      </c>
      <c r="G1140" t="s">
        <v>2139</v>
      </c>
      <c r="H1140" t="s">
        <v>2974</v>
      </c>
      <c r="I1140">
        <v>1206726</v>
      </c>
      <c r="J1140" t="s">
        <v>3263</v>
      </c>
      <c r="K1140" t="s">
        <v>4448</v>
      </c>
    </row>
    <row r="1141" spans="1:11" x14ac:dyDescent="0.3">
      <c r="A1141" t="s">
        <v>3795</v>
      </c>
      <c r="B1141" t="s">
        <v>1365</v>
      </c>
      <c r="C1141" t="s">
        <v>708</v>
      </c>
      <c r="D1141" t="s">
        <v>4111</v>
      </c>
      <c r="E1141" t="s">
        <v>404</v>
      </c>
      <c r="F1141" s="1" t="str">
        <f>HYPERLINK("http://ovidsp.ovid.com/ovidweb.cgi?T=JS&amp;NEWS=n&amp;CSC=Y&amp;PAGE=booktext&amp;D=books&amp;AN=01437103$&amp;XPATH=/PG(0)&amp;EPUB=Y","http://ovidsp.ovid.com/ovidweb.cgi?T=JS&amp;NEWS=n&amp;CSC=Y&amp;PAGE=booktext&amp;D=books&amp;AN=01437103$&amp;XPATH=/PG(0)&amp;EPUB=Y")</f>
        <v>http://ovidsp.ovid.com/ovidweb.cgi?T=JS&amp;NEWS=n&amp;CSC=Y&amp;PAGE=booktext&amp;D=books&amp;AN=01437103$&amp;XPATH=/PG(0)&amp;EPUB=Y</v>
      </c>
      <c r="G1141" t="s">
        <v>2139</v>
      </c>
      <c r="H1141" t="s">
        <v>2974</v>
      </c>
      <c r="I1141">
        <v>1206726</v>
      </c>
      <c r="J1141" t="s">
        <v>3263</v>
      </c>
      <c r="K1141" t="s">
        <v>3345</v>
      </c>
    </row>
    <row r="1142" spans="1:11" x14ac:dyDescent="0.3">
      <c r="A1142" t="s">
        <v>2929</v>
      </c>
      <c r="B1142" t="s">
        <v>2373</v>
      </c>
      <c r="C1142" t="s">
        <v>4485</v>
      </c>
      <c r="D1142" t="s">
        <v>4111</v>
      </c>
      <c r="E1142" t="s">
        <v>404</v>
      </c>
      <c r="F1142" s="1" t="str">
        <f>HYPERLINK("http://ovidsp.ovid.com/ovidweb.cgi?T=JS&amp;NEWS=n&amp;CSC=Y&amp;PAGE=booktext&amp;D=books&amp;AN=01438896$&amp;XPATH=/PG(0)&amp;EPUB=Y","http://ovidsp.ovid.com/ovidweb.cgi?T=JS&amp;NEWS=n&amp;CSC=Y&amp;PAGE=booktext&amp;D=books&amp;AN=01438896$&amp;XPATH=/PG(0)&amp;EPUB=Y")</f>
        <v>http://ovidsp.ovid.com/ovidweb.cgi?T=JS&amp;NEWS=n&amp;CSC=Y&amp;PAGE=booktext&amp;D=books&amp;AN=01438896$&amp;XPATH=/PG(0)&amp;EPUB=Y</v>
      </c>
      <c r="G1142" t="s">
        <v>2139</v>
      </c>
      <c r="H1142" t="s">
        <v>2974</v>
      </c>
      <c r="I1142">
        <v>1206726</v>
      </c>
      <c r="J1142" t="s">
        <v>3263</v>
      </c>
      <c r="K1142" t="s">
        <v>4052</v>
      </c>
    </row>
    <row r="1143" spans="1:11" x14ac:dyDescent="0.3">
      <c r="A1143" t="s">
        <v>4145</v>
      </c>
      <c r="B1143" t="s">
        <v>3256</v>
      </c>
      <c r="C1143" t="s">
        <v>2584</v>
      </c>
      <c r="D1143" t="s">
        <v>4111</v>
      </c>
      <c r="E1143" t="s">
        <v>2223</v>
      </c>
      <c r="F1143" s="1" t="str">
        <f>HYPERLINK("http://ovidsp.ovid.com/ovidweb.cgi?T=JS&amp;NEWS=n&amp;CSC=Y&amp;PAGE=booktext&amp;D=books&amp;AN=01439428$&amp;XPATH=/PG(0)&amp;EPUB=Y","http://ovidsp.ovid.com/ovidweb.cgi?T=JS&amp;NEWS=n&amp;CSC=Y&amp;PAGE=booktext&amp;D=books&amp;AN=01439428$&amp;XPATH=/PG(0)&amp;EPUB=Y")</f>
        <v>http://ovidsp.ovid.com/ovidweb.cgi?T=JS&amp;NEWS=n&amp;CSC=Y&amp;PAGE=booktext&amp;D=books&amp;AN=01439428$&amp;XPATH=/PG(0)&amp;EPUB=Y</v>
      </c>
      <c r="G1143" t="s">
        <v>2139</v>
      </c>
      <c r="H1143" t="s">
        <v>2974</v>
      </c>
      <c r="I1143">
        <v>1206726</v>
      </c>
      <c r="J1143" t="s">
        <v>3263</v>
      </c>
      <c r="K1143" t="s">
        <v>142</v>
      </c>
    </row>
    <row r="1144" spans="1:11" x14ac:dyDescent="0.3">
      <c r="A1144" t="s">
        <v>2355</v>
      </c>
      <c r="B1144" t="s">
        <v>43</v>
      </c>
      <c r="C1144" t="s">
        <v>4683</v>
      </c>
      <c r="D1144" t="s">
        <v>4111</v>
      </c>
      <c r="E1144" t="s">
        <v>3051</v>
      </c>
      <c r="F1144" s="1" t="str">
        <f>HYPERLINK("http://ovidsp.ovid.com/ovidweb.cgi?T=JS&amp;NEWS=n&amp;CSC=Y&amp;PAGE=booktext&amp;D=books&amp;AN=01256979$&amp;XPATH=/PG(0)&amp;EPUB=Y","http://ovidsp.ovid.com/ovidweb.cgi?T=JS&amp;NEWS=n&amp;CSC=Y&amp;PAGE=booktext&amp;D=books&amp;AN=01256979$&amp;XPATH=/PG(0)&amp;EPUB=Y")</f>
        <v>http://ovidsp.ovid.com/ovidweb.cgi?T=JS&amp;NEWS=n&amp;CSC=Y&amp;PAGE=booktext&amp;D=books&amp;AN=01256979$&amp;XPATH=/PG(0)&amp;EPUB=Y</v>
      </c>
      <c r="G1144" t="s">
        <v>2139</v>
      </c>
      <c r="H1144" t="s">
        <v>2974</v>
      </c>
      <c r="I1144">
        <v>1206726</v>
      </c>
      <c r="J1144" t="s">
        <v>3263</v>
      </c>
      <c r="K1144" t="s">
        <v>3911</v>
      </c>
    </row>
    <row r="1145" spans="1:11" x14ac:dyDescent="0.3">
      <c r="A1145" t="s">
        <v>2563</v>
      </c>
      <c r="B1145" t="s">
        <v>3550</v>
      </c>
      <c r="C1145" t="s">
        <v>3738</v>
      </c>
      <c r="D1145" t="s">
        <v>4111</v>
      </c>
      <c r="E1145" t="s">
        <v>4250</v>
      </c>
      <c r="F1145" s="1" t="str">
        <f>HYPERLINK("http://ovidsp.ovid.com/ovidweb.cgi?T=JS&amp;NEWS=n&amp;CSC=Y&amp;PAGE=booktext&amp;D=books&amp;AN=01438897$&amp;XPATH=/PG(0)&amp;EPUB=Y","http://ovidsp.ovid.com/ovidweb.cgi?T=JS&amp;NEWS=n&amp;CSC=Y&amp;PAGE=booktext&amp;D=books&amp;AN=01438897$&amp;XPATH=/PG(0)&amp;EPUB=Y")</f>
        <v>http://ovidsp.ovid.com/ovidweb.cgi?T=JS&amp;NEWS=n&amp;CSC=Y&amp;PAGE=booktext&amp;D=books&amp;AN=01438897$&amp;XPATH=/PG(0)&amp;EPUB=Y</v>
      </c>
      <c r="G1145" t="s">
        <v>2139</v>
      </c>
      <c r="H1145" t="s">
        <v>2974</v>
      </c>
      <c r="I1145">
        <v>1206726</v>
      </c>
      <c r="J1145" t="s">
        <v>3263</v>
      </c>
      <c r="K1145" t="s">
        <v>1546</v>
      </c>
    </row>
    <row r="1146" spans="1:11" x14ac:dyDescent="0.3">
      <c r="A1146" t="s">
        <v>490</v>
      </c>
      <c r="B1146" t="s">
        <v>3708</v>
      </c>
      <c r="C1146" t="s">
        <v>2738</v>
      </c>
      <c r="D1146" t="s">
        <v>4111</v>
      </c>
      <c r="E1146" t="s">
        <v>404</v>
      </c>
      <c r="F1146" s="1" t="str">
        <f>HYPERLINK("http://ovidsp.ovid.com/ovidweb.cgi?T=JS&amp;NEWS=n&amp;CSC=Y&amp;PAGE=booktext&amp;D=books&amp;AN=01626625$&amp;XPATH=/PG(0)&amp;EPUB=Y","http://ovidsp.ovid.com/ovidweb.cgi?T=JS&amp;NEWS=n&amp;CSC=Y&amp;PAGE=booktext&amp;D=books&amp;AN=01626625$&amp;XPATH=/PG(0)&amp;EPUB=Y")</f>
        <v>http://ovidsp.ovid.com/ovidweb.cgi?T=JS&amp;NEWS=n&amp;CSC=Y&amp;PAGE=booktext&amp;D=books&amp;AN=01626625$&amp;XPATH=/PG(0)&amp;EPUB=Y</v>
      </c>
      <c r="G1146" t="s">
        <v>2139</v>
      </c>
      <c r="H1146" t="s">
        <v>2974</v>
      </c>
      <c r="I1146">
        <v>1206726</v>
      </c>
      <c r="J1146" t="s">
        <v>3263</v>
      </c>
      <c r="K1146" t="s">
        <v>3386</v>
      </c>
    </row>
    <row r="1147" spans="1:11" x14ac:dyDescent="0.3">
      <c r="A1147" t="s">
        <v>1869</v>
      </c>
      <c r="B1147" t="s">
        <v>2603</v>
      </c>
      <c r="C1147" t="s">
        <v>3221</v>
      </c>
      <c r="D1147" t="s">
        <v>4111</v>
      </c>
      <c r="E1147" t="s">
        <v>2223</v>
      </c>
      <c r="F1147" s="1" t="str">
        <f>HYPERLINK("http://ovidsp.ovid.com/ovidweb.cgi?T=JS&amp;NEWS=n&amp;CSC=Y&amp;PAGE=booktext&amp;D=books&amp;AN=01451468$&amp;XPATH=/PG(0)&amp;EPUB=Y","http://ovidsp.ovid.com/ovidweb.cgi?T=JS&amp;NEWS=n&amp;CSC=Y&amp;PAGE=booktext&amp;D=books&amp;AN=01451468$&amp;XPATH=/PG(0)&amp;EPUB=Y")</f>
        <v>http://ovidsp.ovid.com/ovidweb.cgi?T=JS&amp;NEWS=n&amp;CSC=Y&amp;PAGE=booktext&amp;D=books&amp;AN=01451468$&amp;XPATH=/PG(0)&amp;EPUB=Y</v>
      </c>
      <c r="G1147" t="s">
        <v>2139</v>
      </c>
      <c r="H1147" t="s">
        <v>2974</v>
      </c>
      <c r="I1147">
        <v>1206726</v>
      </c>
      <c r="J1147" t="s">
        <v>3263</v>
      </c>
      <c r="K1147" t="s">
        <v>957</v>
      </c>
    </row>
    <row r="1148" spans="1:11" x14ac:dyDescent="0.3">
      <c r="A1148" t="s">
        <v>1491</v>
      </c>
      <c r="B1148" t="s">
        <v>4011</v>
      </c>
      <c r="C1148" t="s">
        <v>4199</v>
      </c>
      <c r="D1148" t="s">
        <v>4111</v>
      </c>
      <c r="E1148" t="s">
        <v>4077</v>
      </c>
      <c r="F1148" s="1" t="str">
        <f>HYPERLINK("http://ovidsp.ovid.com/ovidweb.cgi?T=JS&amp;NEWS=n&amp;CSC=Y&amp;PAGE=booktext&amp;D=books&amp;AN=01745935$&amp;XPATH=/PG(0)&amp;EPUB=Y","http://ovidsp.ovid.com/ovidweb.cgi?T=JS&amp;NEWS=n&amp;CSC=Y&amp;PAGE=booktext&amp;D=books&amp;AN=01745935$&amp;XPATH=/PG(0)&amp;EPUB=Y")</f>
        <v>http://ovidsp.ovid.com/ovidweb.cgi?T=JS&amp;NEWS=n&amp;CSC=Y&amp;PAGE=booktext&amp;D=books&amp;AN=01745935$&amp;XPATH=/PG(0)&amp;EPUB=Y</v>
      </c>
      <c r="G1148" t="s">
        <v>2139</v>
      </c>
      <c r="H1148" t="s">
        <v>2974</v>
      </c>
      <c r="I1148">
        <v>1206726</v>
      </c>
      <c r="J1148" t="s">
        <v>3263</v>
      </c>
      <c r="K1148" t="s">
        <v>1592</v>
      </c>
    </row>
    <row r="1149" spans="1:11" x14ac:dyDescent="0.3">
      <c r="A1149" t="s">
        <v>3328</v>
      </c>
      <c r="B1149" t="s">
        <v>3786</v>
      </c>
      <c r="C1149" t="s">
        <v>2001</v>
      </c>
      <c r="D1149" t="s">
        <v>4111</v>
      </c>
      <c r="E1149" t="s">
        <v>1168</v>
      </c>
      <c r="F1149" s="1" t="str">
        <f>HYPERLINK("http://ovidsp.ovid.com/ovidweb.cgi?T=JS&amp;NEWS=n&amp;CSC=Y&amp;PAGE=booktext&amp;D=books&amp;AN=01906633$&amp;XPATH=/PG(0)&amp;EPUB=Y","http://ovidsp.ovid.com/ovidweb.cgi?T=JS&amp;NEWS=n&amp;CSC=Y&amp;PAGE=booktext&amp;D=books&amp;AN=01906633$&amp;XPATH=/PG(0)&amp;EPUB=Y")</f>
        <v>http://ovidsp.ovid.com/ovidweb.cgi?T=JS&amp;NEWS=n&amp;CSC=Y&amp;PAGE=booktext&amp;D=books&amp;AN=01906633$&amp;XPATH=/PG(0)&amp;EPUB=Y</v>
      </c>
      <c r="G1149" t="s">
        <v>2139</v>
      </c>
      <c r="H1149" t="s">
        <v>2974</v>
      </c>
      <c r="I1149">
        <v>1206726</v>
      </c>
      <c r="J1149" t="s">
        <v>3263</v>
      </c>
      <c r="K1149" t="s">
        <v>2797</v>
      </c>
    </row>
    <row r="1150" spans="1:11" x14ac:dyDescent="0.3">
      <c r="A1150" t="s">
        <v>1740</v>
      </c>
      <c r="B1150" t="s">
        <v>2671</v>
      </c>
      <c r="C1150" t="s">
        <v>1974</v>
      </c>
      <c r="D1150" t="s">
        <v>4111</v>
      </c>
      <c r="E1150" t="s">
        <v>404</v>
      </c>
      <c r="F1150" s="1" t="str">
        <f>HYPERLINK("http://ovidsp.ovid.com/ovidweb.cgi?T=JS&amp;NEWS=n&amp;CSC=Y&amp;PAGE=booktext&amp;D=books&amp;AN=01382713$&amp;XPATH=/PG(0)&amp;EPUB=Y","http://ovidsp.ovid.com/ovidweb.cgi?T=JS&amp;NEWS=n&amp;CSC=Y&amp;PAGE=booktext&amp;D=books&amp;AN=01382713$&amp;XPATH=/PG(0)&amp;EPUB=Y")</f>
        <v>http://ovidsp.ovid.com/ovidweb.cgi?T=JS&amp;NEWS=n&amp;CSC=Y&amp;PAGE=booktext&amp;D=books&amp;AN=01382713$&amp;XPATH=/PG(0)&amp;EPUB=Y</v>
      </c>
      <c r="G1150" t="s">
        <v>2139</v>
      </c>
      <c r="H1150" t="s">
        <v>2974</v>
      </c>
      <c r="I1150">
        <v>1206726</v>
      </c>
      <c r="J1150" t="s">
        <v>3263</v>
      </c>
      <c r="K1150" t="s">
        <v>3480</v>
      </c>
    </row>
    <row r="1151" spans="1:11" x14ac:dyDescent="0.3">
      <c r="A1151" t="s">
        <v>915</v>
      </c>
      <c r="B1151" t="s">
        <v>140</v>
      </c>
      <c r="C1151" t="s">
        <v>1058</v>
      </c>
      <c r="D1151" t="s">
        <v>4111</v>
      </c>
      <c r="E1151" t="s">
        <v>2223</v>
      </c>
      <c r="F1151" s="1" t="str">
        <f>HYPERLINK("http://ovidsp.ovid.com/ovidweb.cgi?T=JS&amp;NEWS=n&amp;CSC=Y&amp;PAGE=booktext&amp;D=books&amp;AN=01436956$&amp;XPATH=/PG(0)&amp;EPUB=Y","http://ovidsp.ovid.com/ovidweb.cgi?T=JS&amp;NEWS=n&amp;CSC=Y&amp;PAGE=booktext&amp;D=books&amp;AN=01436956$&amp;XPATH=/PG(0)&amp;EPUB=Y")</f>
        <v>http://ovidsp.ovid.com/ovidweb.cgi?T=JS&amp;NEWS=n&amp;CSC=Y&amp;PAGE=booktext&amp;D=books&amp;AN=01436956$&amp;XPATH=/PG(0)&amp;EPUB=Y</v>
      </c>
      <c r="G1151" t="s">
        <v>2139</v>
      </c>
      <c r="H1151" t="s">
        <v>2974</v>
      </c>
      <c r="I1151">
        <v>1206726</v>
      </c>
      <c r="J1151" t="s">
        <v>3263</v>
      </c>
      <c r="K1151" t="s">
        <v>435</v>
      </c>
    </row>
    <row r="1152" spans="1:11" x14ac:dyDescent="0.3">
      <c r="A1152" t="s">
        <v>769</v>
      </c>
      <c r="B1152" t="s">
        <v>537</v>
      </c>
      <c r="C1152" t="s">
        <v>763</v>
      </c>
      <c r="D1152" t="s">
        <v>4111</v>
      </c>
      <c r="E1152" t="s">
        <v>2223</v>
      </c>
      <c r="F1152" s="1" t="str">
        <f>HYPERLINK("http://ovidsp.ovid.com/ovidweb.cgi?T=JS&amp;NEWS=n&amp;CSC=Y&amp;PAGE=booktext&amp;D=books&amp;AN=01412560$&amp;XPATH=/PG(0)&amp;EPUB=Y","http://ovidsp.ovid.com/ovidweb.cgi?T=JS&amp;NEWS=n&amp;CSC=Y&amp;PAGE=booktext&amp;D=books&amp;AN=01412560$&amp;XPATH=/PG(0)&amp;EPUB=Y")</f>
        <v>http://ovidsp.ovid.com/ovidweb.cgi?T=JS&amp;NEWS=n&amp;CSC=Y&amp;PAGE=booktext&amp;D=books&amp;AN=01412560$&amp;XPATH=/PG(0)&amp;EPUB=Y</v>
      </c>
      <c r="G1152" t="s">
        <v>2139</v>
      </c>
      <c r="H1152" t="s">
        <v>2974</v>
      </c>
      <c r="I1152">
        <v>1206726</v>
      </c>
      <c r="J1152" t="s">
        <v>3263</v>
      </c>
      <c r="K1152" t="s">
        <v>793</v>
      </c>
    </row>
    <row r="1153" spans="1:11" x14ac:dyDescent="0.3">
      <c r="A1153" t="s">
        <v>4486</v>
      </c>
      <c r="B1153" t="s">
        <v>3762</v>
      </c>
      <c r="C1153" t="s">
        <v>2124</v>
      </c>
      <c r="D1153" t="s">
        <v>3571</v>
      </c>
      <c r="E1153" t="s">
        <v>3051</v>
      </c>
      <c r="F1153" s="1" t="str">
        <f>HYPERLINK("http://ovidsp.ovid.com/ovidweb.cgi?T=JS&amp;NEWS=n&amp;CSC=Y&amp;PAGE=booktext&amp;D=books&amp;AN=00140018$&amp;XPATH=/PG(0)&amp;EPUB=Y","http://ovidsp.ovid.com/ovidweb.cgi?T=JS&amp;NEWS=n&amp;CSC=Y&amp;PAGE=booktext&amp;D=books&amp;AN=00140018$&amp;XPATH=/PG(0)&amp;EPUB=Y")</f>
        <v>http://ovidsp.ovid.com/ovidweb.cgi?T=JS&amp;NEWS=n&amp;CSC=Y&amp;PAGE=booktext&amp;D=books&amp;AN=00140018$&amp;XPATH=/PG(0)&amp;EPUB=Y</v>
      </c>
      <c r="G1153" t="s">
        <v>2139</v>
      </c>
      <c r="H1153" t="s">
        <v>2974</v>
      </c>
      <c r="I1153">
        <v>1206726</v>
      </c>
      <c r="J1153" t="s">
        <v>3263</v>
      </c>
      <c r="K1153" t="s">
        <v>776</v>
      </c>
    </row>
    <row r="1154" spans="1:11" x14ac:dyDescent="0.3">
      <c r="A1154" t="s">
        <v>2461</v>
      </c>
      <c r="B1154" t="s">
        <v>2039</v>
      </c>
      <c r="C1154" t="s">
        <v>4046</v>
      </c>
      <c r="D1154" t="s">
        <v>4111</v>
      </c>
      <c r="E1154" t="s">
        <v>3387</v>
      </c>
      <c r="F1154" s="1" t="str">
        <f>HYPERLINK("http://ovidsp.ovid.com/ovidweb.cgi?T=JS&amp;NEWS=n&amp;CSC=Y&amp;PAGE=booktext&amp;D=books&amp;AN=01607875$&amp;XPATH=/PG(0)&amp;EPUB=Y","http://ovidsp.ovid.com/ovidweb.cgi?T=JS&amp;NEWS=n&amp;CSC=Y&amp;PAGE=booktext&amp;D=books&amp;AN=01607875$&amp;XPATH=/PG(0)&amp;EPUB=Y")</f>
        <v>http://ovidsp.ovid.com/ovidweb.cgi?T=JS&amp;NEWS=n&amp;CSC=Y&amp;PAGE=booktext&amp;D=books&amp;AN=01607875$&amp;XPATH=/PG(0)&amp;EPUB=Y</v>
      </c>
      <c r="G1154" t="s">
        <v>2139</v>
      </c>
      <c r="H1154" t="s">
        <v>2974</v>
      </c>
      <c r="I1154">
        <v>1206726</v>
      </c>
      <c r="J1154" t="s">
        <v>3263</v>
      </c>
      <c r="K1154" t="s">
        <v>4419</v>
      </c>
    </row>
    <row r="1155" spans="1:11" x14ac:dyDescent="0.3">
      <c r="A1155" t="s">
        <v>2543</v>
      </c>
      <c r="B1155" t="s">
        <v>590</v>
      </c>
      <c r="C1155" t="s">
        <v>1520</v>
      </c>
      <c r="D1155" t="s">
        <v>4111</v>
      </c>
      <c r="E1155" t="s">
        <v>404</v>
      </c>
      <c r="F1155" s="1" t="str">
        <f>HYPERLINK("http://ovidsp.ovid.com/ovidweb.cgi?T=JS&amp;NEWS=n&amp;CSC=Y&amp;PAGE=booktext&amp;D=books&amp;AN=01626622$&amp;XPATH=/PG(0)&amp;EPUB=Y","http://ovidsp.ovid.com/ovidweb.cgi?T=JS&amp;NEWS=n&amp;CSC=Y&amp;PAGE=booktext&amp;D=books&amp;AN=01626622$&amp;XPATH=/PG(0)&amp;EPUB=Y")</f>
        <v>http://ovidsp.ovid.com/ovidweb.cgi?T=JS&amp;NEWS=n&amp;CSC=Y&amp;PAGE=booktext&amp;D=books&amp;AN=01626622$&amp;XPATH=/PG(0)&amp;EPUB=Y</v>
      </c>
      <c r="G1155" t="s">
        <v>2139</v>
      </c>
      <c r="H1155" t="s">
        <v>2974</v>
      </c>
      <c r="I1155">
        <v>1206726</v>
      </c>
      <c r="J1155" t="s">
        <v>3263</v>
      </c>
      <c r="K1155" t="s">
        <v>1072</v>
      </c>
    </row>
    <row r="1156" spans="1:11" x14ac:dyDescent="0.3">
      <c r="A1156" t="s">
        <v>2543</v>
      </c>
      <c r="B1156" t="s">
        <v>1610</v>
      </c>
      <c r="C1156" t="s">
        <v>1730</v>
      </c>
      <c r="D1156" t="s">
        <v>4111</v>
      </c>
      <c r="E1156" t="s">
        <v>2223</v>
      </c>
      <c r="F1156" s="1" t="str">
        <f>HYPERLINK("http://ovidsp.ovid.com/ovidweb.cgi?T=JS&amp;NEWS=n&amp;CSC=Y&amp;PAGE=booktext&amp;D=books&amp;AN=01337258$&amp;XPATH=/PG(0)&amp;EPUB=Y","http://ovidsp.ovid.com/ovidweb.cgi?T=JS&amp;NEWS=n&amp;CSC=Y&amp;PAGE=booktext&amp;D=books&amp;AN=01337258$&amp;XPATH=/PG(0)&amp;EPUB=Y")</f>
        <v>http://ovidsp.ovid.com/ovidweb.cgi?T=JS&amp;NEWS=n&amp;CSC=Y&amp;PAGE=booktext&amp;D=books&amp;AN=01337258$&amp;XPATH=/PG(0)&amp;EPUB=Y</v>
      </c>
      <c r="G1156" t="s">
        <v>2139</v>
      </c>
      <c r="H1156" t="s">
        <v>2974</v>
      </c>
      <c r="I1156">
        <v>1206726</v>
      </c>
      <c r="J1156" t="s">
        <v>3263</v>
      </c>
      <c r="K1156" t="s">
        <v>3115</v>
      </c>
    </row>
    <row r="1157" spans="1:11" x14ac:dyDescent="0.3">
      <c r="A1157" t="s">
        <v>1231</v>
      </c>
      <c r="B1157" t="s">
        <v>3732</v>
      </c>
      <c r="C1157" t="s">
        <v>2744</v>
      </c>
      <c r="D1157" t="s">
        <v>4111</v>
      </c>
      <c r="E1157" t="s">
        <v>404</v>
      </c>
      <c r="F1157" s="1" t="str">
        <f>HYPERLINK("http://ovidsp.ovid.com/ovidweb.cgi?T=JS&amp;NEWS=n&amp;CSC=Y&amp;PAGE=booktext&amp;D=books&amp;AN=01807322$&amp;XPATH=/PG(0)&amp;EPUB=Y","http://ovidsp.ovid.com/ovidweb.cgi?T=JS&amp;NEWS=n&amp;CSC=Y&amp;PAGE=booktext&amp;D=books&amp;AN=01807322$&amp;XPATH=/PG(0)&amp;EPUB=Y")</f>
        <v>http://ovidsp.ovid.com/ovidweb.cgi?T=JS&amp;NEWS=n&amp;CSC=Y&amp;PAGE=booktext&amp;D=books&amp;AN=01807322$&amp;XPATH=/PG(0)&amp;EPUB=Y</v>
      </c>
      <c r="G1157" t="s">
        <v>2139</v>
      </c>
      <c r="H1157" t="s">
        <v>2974</v>
      </c>
      <c r="I1157">
        <v>1206726</v>
      </c>
      <c r="J1157" t="s">
        <v>3263</v>
      </c>
      <c r="K1157" t="s">
        <v>1845</v>
      </c>
    </row>
    <row r="1158" spans="1:11" x14ac:dyDescent="0.3">
      <c r="A1158" t="s">
        <v>2342</v>
      </c>
      <c r="B1158" t="s">
        <v>1789</v>
      </c>
      <c r="C1158" t="s">
        <v>3408</v>
      </c>
      <c r="D1158" t="s">
        <v>4111</v>
      </c>
      <c r="E1158" t="s">
        <v>1104</v>
      </c>
      <c r="F1158" s="1" t="str">
        <f>HYPERLINK("http://ovidsp.ovid.com/ovidweb.cgi?T=JS&amp;NEWS=n&amp;CSC=Y&amp;PAGE=booktext&amp;D=books&amp;AN=01807323$&amp;XPATH=/PG(0)&amp;EPUB=Y","http://ovidsp.ovid.com/ovidweb.cgi?T=JS&amp;NEWS=n&amp;CSC=Y&amp;PAGE=booktext&amp;D=books&amp;AN=01807323$&amp;XPATH=/PG(0)&amp;EPUB=Y")</f>
        <v>http://ovidsp.ovid.com/ovidweb.cgi?T=JS&amp;NEWS=n&amp;CSC=Y&amp;PAGE=booktext&amp;D=books&amp;AN=01807323$&amp;XPATH=/PG(0)&amp;EPUB=Y</v>
      </c>
      <c r="G1158" t="s">
        <v>2139</v>
      </c>
      <c r="H1158" t="s">
        <v>2974</v>
      </c>
      <c r="I1158">
        <v>1206726</v>
      </c>
      <c r="J1158" t="s">
        <v>3263</v>
      </c>
      <c r="K1158" t="s">
        <v>485</v>
      </c>
    </row>
    <row r="1159" spans="1:11" x14ac:dyDescent="0.3">
      <c r="A1159" t="s">
        <v>682</v>
      </c>
      <c r="B1159" t="s">
        <v>4073</v>
      </c>
      <c r="C1159" t="s">
        <v>3721</v>
      </c>
      <c r="D1159" t="s">
        <v>4111</v>
      </c>
      <c r="E1159" t="s">
        <v>2223</v>
      </c>
      <c r="F1159" s="1" t="str">
        <f>HYPERLINK("http://ovidsp.ovid.com/ovidweb.cgi?T=JS&amp;NEWS=n&amp;CSC=Y&amp;PAGE=booktext&amp;D=books&amp;AN=01279770$&amp;XPATH=/PG(0)&amp;EPUB=Y","http://ovidsp.ovid.com/ovidweb.cgi?T=JS&amp;NEWS=n&amp;CSC=Y&amp;PAGE=booktext&amp;D=books&amp;AN=01279770$&amp;XPATH=/PG(0)&amp;EPUB=Y")</f>
        <v>http://ovidsp.ovid.com/ovidweb.cgi?T=JS&amp;NEWS=n&amp;CSC=Y&amp;PAGE=booktext&amp;D=books&amp;AN=01279770$&amp;XPATH=/PG(0)&amp;EPUB=Y</v>
      </c>
      <c r="G1159" t="s">
        <v>2139</v>
      </c>
      <c r="H1159" t="s">
        <v>2974</v>
      </c>
      <c r="I1159">
        <v>1206726</v>
      </c>
      <c r="J1159" t="s">
        <v>3263</v>
      </c>
      <c r="K1159" t="s">
        <v>1359</v>
      </c>
    </row>
    <row r="1160" spans="1:11" x14ac:dyDescent="0.3">
      <c r="A1160" t="s">
        <v>4342</v>
      </c>
      <c r="B1160" t="s">
        <v>3312</v>
      </c>
      <c r="C1160" t="s">
        <v>4438</v>
      </c>
      <c r="D1160" t="s">
        <v>4111</v>
      </c>
      <c r="E1160" t="s">
        <v>2970</v>
      </c>
      <c r="F1160" s="1" t="str">
        <f>HYPERLINK("http://ovidsp.ovid.com/ovidweb.cgi?T=JS&amp;NEWS=n&amp;CSC=Y&amp;PAGE=booktext&amp;D=books&amp;AN=01382714$&amp;XPATH=/PG(0)&amp;EPUB=Y","http://ovidsp.ovid.com/ovidweb.cgi?T=JS&amp;NEWS=n&amp;CSC=Y&amp;PAGE=booktext&amp;D=books&amp;AN=01382714$&amp;XPATH=/PG(0)&amp;EPUB=Y")</f>
        <v>http://ovidsp.ovid.com/ovidweb.cgi?T=JS&amp;NEWS=n&amp;CSC=Y&amp;PAGE=booktext&amp;D=books&amp;AN=01382714$&amp;XPATH=/PG(0)&amp;EPUB=Y</v>
      </c>
      <c r="G1160" t="s">
        <v>2139</v>
      </c>
      <c r="H1160" t="s">
        <v>2974</v>
      </c>
      <c r="I1160">
        <v>1206726</v>
      </c>
      <c r="J1160" t="s">
        <v>3263</v>
      </c>
      <c r="K1160" t="s">
        <v>1651</v>
      </c>
    </row>
    <row r="1161" spans="1:11" x14ac:dyDescent="0.3">
      <c r="A1161" t="s">
        <v>1073</v>
      </c>
      <c r="B1161" t="s">
        <v>4630</v>
      </c>
      <c r="C1161" t="s">
        <v>2885</v>
      </c>
      <c r="D1161" t="s">
        <v>4111</v>
      </c>
      <c r="E1161" t="s">
        <v>3051</v>
      </c>
      <c r="F1161" s="1" t="str">
        <f>HYPERLINK("http://ovidsp.ovid.com/ovidweb.cgi?T=JS&amp;NEWS=n&amp;CSC=Y&amp;PAGE=booktext&amp;D=books&amp;AN=01382639$&amp;XPATH=/PG(0)&amp;EPUB=Y","http://ovidsp.ovid.com/ovidweb.cgi?T=JS&amp;NEWS=n&amp;CSC=Y&amp;PAGE=booktext&amp;D=books&amp;AN=01382639$&amp;XPATH=/PG(0)&amp;EPUB=Y")</f>
        <v>http://ovidsp.ovid.com/ovidweb.cgi?T=JS&amp;NEWS=n&amp;CSC=Y&amp;PAGE=booktext&amp;D=books&amp;AN=01382639$&amp;XPATH=/PG(0)&amp;EPUB=Y</v>
      </c>
      <c r="G1161" t="s">
        <v>2139</v>
      </c>
      <c r="H1161" t="s">
        <v>2974</v>
      </c>
      <c r="I1161">
        <v>1206726</v>
      </c>
      <c r="J1161" t="s">
        <v>3263</v>
      </c>
      <c r="K1161" t="s">
        <v>4647</v>
      </c>
    </row>
    <row r="1162" spans="1:11" x14ac:dyDescent="0.3">
      <c r="A1162" t="s">
        <v>221</v>
      </c>
      <c r="B1162" t="s">
        <v>3381</v>
      </c>
      <c r="C1162" t="s">
        <v>3467</v>
      </c>
      <c r="D1162" t="s">
        <v>4111</v>
      </c>
      <c r="E1162" t="s">
        <v>4250</v>
      </c>
      <c r="F1162" s="1" t="str">
        <f>HYPERLINK("http://ovidsp.ovid.com/ovidweb.cgi?T=JS&amp;NEWS=n&amp;CSC=Y&amp;PAGE=booktext&amp;D=books&amp;AN=00140053$&amp;XPATH=/PG(0)&amp;EPUB=Y","http://ovidsp.ovid.com/ovidweb.cgi?T=JS&amp;NEWS=n&amp;CSC=Y&amp;PAGE=booktext&amp;D=books&amp;AN=00140053$&amp;XPATH=/PG(0)&amp;EPUB=Y")</f>
        <v>http://ovidsp.ovid.com/ovidweb.cgi?T=JS&amp;NEWS=n&amp;CSC=Y&amp;PAGE=booktext&amp;D=books&amp;AN=00140053$&amp;XPATH=/PG(0)&amp;EPUB=Y</v>
      </c>
      <c r="G1162" t="s">
        <v>2139</v>
      </c>
      <c r="H1162" t="s">
        <v>2974</v>
      </c>
      <c r="I1162">
        <v>1206726</v>
      </c>
      <c r="J1162" t="s">
        <v>3263</v>
      </c>
      <c r="K1162" t="s">
        <v>318</v>
      </c>
    </row>
    <row r="1163" spans="1:11" x14ac:dyDescent="0.3">
      <c r="A1163" t="s">
        <v>1045</v>
      </c>
      <c r="B1163" t="s">
        <v>4053</v>
      </c>
      <c r="C1163" t="s">
        <v>3514</v>
      </c>
      <c r="D1163" t="s">
        <v>4111</v>
      </c>
      <c r="E1163" t="s">
        <v>404</v>
      </c>
      <c r="F1163" s="1" t="str">
        <f>HYPERLINK("http://ovidsp.ovid.com/ovidweb.cgi?T=JS&amp;NEWS=n&amp;CSC=Y&amp;PAGE=booktext&amp;D=books&amp;AN=01256983$&amp;XPATH=/PG(0)&amp;EPUB=Y","http://ovidsp.ovid.com/ovidweb.cgi?T=JS&amp;NEWS=n&amp;CSC=Y&amp;PAGE=booktext&amp;D=books&amp;AN=01256983$&amp;XPATH=/PG(0)&amp;EPUB=Y")</f>
        <v>http://ovidsp.ovid.com/ovidweb.cgi?T=JS&amp;NEWS=n&amp;CSC=Y&amp;PAGE=booktext&amp;D=books&amp;AN=01256983$&amp;XPATH=/PG(0)&amp;EPUB=Y</v>
      </c>
      <c r="G1163" t="s">
        <v>2139</v>
      </c>
      <c r="H1163" t="s">
        <v>2974</v>
      </c>
      <c r="I1163">
        <v>1206726</v>
      </c>
      <c r="J1163" t="s">
        <v>3263</v>
      </c>
      <c r="K1163" t="s">
        <v>3432</v>
      </c>
    </row>
    <row r="1164" spans="1:11" x14ac:dyDescent="0.3">
      <c r="A1164" t="s">
        <v>3178</v>
      </c>
      <c r="B1164" t="s">
        <v>2492</v>
      </c>
      <c r="C1164" t="s">
        <v>925</v>
      </c>
      <c r="D1164" t="s">
        <v>4111</v>
      </c>
      <c r="E1164" t="s">
        <v>404</v>
      </c>
      <c r="F1164" s="1" t="str">
        <f>HYPERLINK("http://ovidsp.ovid.com/ovidweb.cgi?T=JS&amp;NEWS=n&amp;CSC=Y&amp;PAGE=booktext&amp;D=books&amp;AN=01569254$&amp;XPATH=/PG(0)&amp;EPUB=Y","http://ovidsp.ovid.com/ovidweb.cgi?T=JS&amp;NEWS=n&amp;CSC=Y&amp;PAGE=booktext&amp;D=books&amp;AN=01569254$&amp;XPATH=/PG(0)&amp;EPUB=Y")</f>
        <v>http://ovidsp.ovid.com/ovidweb.cgi?T=JS&amp;NEWS=n&amp;CSC=Y&amp;PAGE=booktext&amp;D=books&amp;AN=01569254$&amp;XPATH=/PG(0)&amp;EPUB=Y</v>
      </c>
      <c r="G1164" t="s">
        <v>2139</v>
      </c>
      <c r="H1164" t="s">
        <v>2974</v>
      </c>
      <c r="I1164">
        <v>1206726</v>
      </c>
      <c r="J1164" t="s">
        <v>3263</v>
      </c>
      <c r="K1164" t="s">
        <v>721</v>
      </c>
    </row>
    <row r="1165" spans="1:11" x14ac:dyDescent="0.3">
      <c r="A1165" t="s">
        <v>531</v>
      </c>
      <c r="B1165" t="s">
        <v>2655</v>
      </c>
      <c r="C1165" t="s">
        <v>3996</v>
      </c>
      <c r="D1165" t="s">
        <v>4111</v>
      </c>
      <c r="E1165" t="s">
        <v>3387</v>
      </c>
      <c r="F1165" s="1" t="str">
        <f>HYPERLINK("http://ovidsp.ovid.com/ovidweb.cgi?T=JS&amp;NEWS=n&amp;CSC=Y&amp;PAGE=booktext&amp;D=books&amp;AN=01626623$&amp;XPATH=/PG(0)&amp;EPUB=Y","http://ovidsp.ovid.com/ovidweb.cgi?T=JS&amp;NEWS=n&amp;CSC=Y&amp;PAGE=booktext&amp;D=books&amp;AN=01626623$&amp;XPATH=/PG(0)&amp;EPUB=Y")</f>
        <v>http://ovidsp.ovid.com/ovidweb.cgi?T=JS&amp;NEWS=n&amp;CSC=Y&amp;PAGE=booktext&amp;D=books&amp;AN=01626623$&amp;XPATH=/PG(0)&amp;EPUB=Y</v>
      </c>
      <c r="G1165" t="s">
        <v>2139</v>
      </c>
      <c r="H1165" t="s">
        <v>2974</v>
      </c>
      <c r="I1165">
        <v>1206726</v>
      </c>
      <c r="J1165" t="s">
        <v>3263</v>
      </c>
      <c r="K1165" t="s">
        <v>659</v>
      </c>
    </row>
    <row r="1166" spans="1:11" x14ac:dyDescent="0.3">
      <c r="A1166" t="s">
        <v>587</v>
      </c>
      <c r="B1166" t="s">
        <v>4030</v>
      </c>
      <c r="C1166" t="s">
        <v>4240</v>
      </c>
      <c r="D1166" t="s">
        <v>4111</v>
      </c>
      <c r="E1166" t="s">
        <v>3051</v>
      </c>
      <c r="F1166" s="1" t="str">
        <f>HYPERLINK("http://ovidsp.ovid.com/ovidweb.cgi?T=JS&amp;NEWS=n&amp;CSC=Y&amp;PAGE=booktext&amp;D=books&amp;AN=00140021$&amp;XPATH=/PG(0)&amp;EPUB=Y","http://ovidsp.ovid.com/ovidweb.cgi?T=JS&amp;NEWS=n&amp;CSC=Y&amp;PAGE=booktext&amp;D=books&amp;AN=00140021$&amp;XPATH=/PG(0)&amp;EPUB=Y")</f>
        <v>http://ovidsp.ovid.com/ovidweb.cgi?T=JS&amp;NEWS=n&amp;CSC=Y&amp;PAGE=booktext&amp;D=books&amp;AN=00140021$&amp;XPATH=/PG(0)&amp;EPUB=Y</v>
      </c>
      <c r="G1166" t="s">
        <v>2139</v>
      </c>
      <c r="H1166" t="s">
        <v>2974</v>
      </c>
      <c r="I1166">
        <v>1206726</v>
      </c>
      <c r="J1166" t="s">
        <v>3263</v>
      </c>
      <c r="K1166" t="s">
        <v>3427</v>
      </c>
    </row>
    <row r="1167" spans="1:11" x14ac:dyDescent="0.3">
      <c r="A1167" t="s">
        <v>611</v>
      </c>
      <c r="B1167" t="s">
        <v>56</v>
      </c>
      <c r="C1167" t="s">
        <v>2148</v>
      </c>
      <c r="D1167" t="s">
        <v>4111</v>
      </c>
      <c r="E1167" t="s">
        <v>404</v>
      </c>
      <c r="F1167" s="1" t="str">
        <f>HYPERLINK("http://ovidsp.ovid.com/ovidweb.cgi?T=JS&amp;NEWS=n&amp;CSC=Y&amp;PAGE=booktext&amp;D=books&amp;AN=01382743$&amp;XPATH=/PG(0)&amp;EPUB=Y","http://ovidsp.ovid.com/ovidweb.cgi?T=JS&amp;NEWS=n&amp;CSC=Y&amp;PAGE=booktext&amp;D=books&amp;AN=01382743$&amp;XPATH=/PG(0)&amp;EPUB=Y")</f>
        <v>http://ovidsp.ovid.com/ovidweb.cgi?T=JS&amp;NEWS=n&amp;CSC=Y&amp;PAGE=booktext&amp;D=books&amp;AN=01382743$&amp;XPATH=/PG(0)&amp;EPUB=Y</v>
      </c>
      <c r="G1167" t="s">
        <v>2139</v>
      </c>
      <c r="H1167" t="s">
        <v>2974</v>
      </c>
      <c r="I1167">
        <v>1206726</v>
      </c>
      <c r="J1167" t="s">
        <v>3263</v>
      </c>
      <c r="K1167" t="s">
        <v>3821</v>
      </c>
    </row>
    <row r="1168" spans="1:11" x14ac:dyDescent="0.3">
      <c r="A1168" t="s">
        <v>634</v>
      </c>
      <c r="B1168" t="s">
        <v>1710</v>
      </c>
      <c r="C1168" t="s">
        <v>4523</v>
      </c>
      <c r="D1168" t="s">
        <v>4111</v>
      </c>
      <c r="E1168" t="s">
        <v>2223</v>
      </c>
      <c r="F1168" s="1" t="str">
        <f>HYPERLINK("http://ovidsp.ovid.com/ovidweb.cgi?T=JS&amp;NEWS=n&amp;CSC=Y&amp;PAGE=booktext&amp;D=books&amp;AN=01257047$&amp;XPATH=/PG(0)&amp;EPUB=Y","http://ovidsp.ovid.com/ovidweb.cgi?T=JS&amp;NEWS=n&amp;CSC=Y&amp;PAGE=booktext&amp;D=books&amp;AN=01257047$&amp;XPATH=/PG(0)&amp;EPUB=Y")</f>
        <v>http://ovidsp.ovid.com/ovidweb.cgi?T=JS&amp;NEWS=n&amp;CSC=Y&amp;PAGE=booktext&amp;D=books&amp;AN=01257047$&amp;XPATH=/PG(0)&amp;EPUB=Y</v>
      </c>
      <c r="G1168" t="s">
        <v>2139</v>
      </c>
      <c r="H1168" t="s">
        <v>2974</v>
      </c>
      <c r="I1168">
        <v>1206726</v>
      </c>
      <c r="J1168" t="s">
        <v>3263</v>
      </c>
      <c r="K1168" t="s">
        <v>1477</v>
      </c>
    </row>
    <row r="1169" spans="1:11" x14ac:dyDescent="0.3">
      <c r="A1169" t="s">
        <v>1181</v>
      </c>
      <c r="B1169" t="s">
        <v>507</v>
      </c>
      <c r="C1169" t="s">
        <v>2963</v>
      </c>
      <c r="D1169" t="s">
        <v>4111</v>
      </c>
      <c r="E1169" t="s">
        <v>171</v>
      </c>
      <c r="F1169" s="1" t="str">
        <f>HYPERLINK("http://ovidsp.ovid.com/ovidweb.cgi?T=JS&amp;NEWS=n&amp;CSC=Y&amp;PAGE=booktext&amp;D=books&amp;AN=01762481$&amp;XPATH=/PG(0)&amp;EPUB=Y","http://ovidsp.ovid.com/ovidweb.cgi?T=JS&amp;NEWS=n&amp;CSC=Y&amp;PAGE=booktext&amp;D=books&amp;AN=01762481$&amp;XPATH=/PG(0)&amp;EPUB=Y")</f>
        <v>http://ovidsp.ovid.com/ovidweb.cgi?T=JS&amp;NEWS=n&amp;CSC=Y&amp;PAGE=booktext&amp;D=books&amp;AN=01762481$&amp;XPATH=/PG(0)&amp;EPUB=Y</v>
      </c>
      <c r="G1169" t="s">
        <v>2139</v>
      </c>
      <c r="H1169" t="s">
        <v>2974</v>
      </c>
      <c r="I1169">
        <v>1206726</v>
      </c>
      <c r="J1169" t="s">
        <v>3263</v>
      </c>
      <c r="K1169" t="s">
        <v>2340</v>
      </c>
    </row>
    <row r="1170" spans="1:11" x14ac:dyDescent="0.3">
      <c r="A1170" t="s">
        <v>1181</v>
      </c>
      <c r="B1170" t="s">
        <v>4652</v>
      </c>
      <c r="C1170" t="s">
        <v>1092</v>
      </c>
      <c r="D1170" t="s">
        <v>4111</v>
      </c>
      <c r="E1170" t="s">
        <v>3322</v>
      </c>
      <c r="F1170" s="1" t="str">
        <f>HYPERLINK("http://ovidsp.ovid.com/ovidweb.cgi?T=JS&amp;NEWS=n&amp;CSC=Y&amp;PAGE=booktext&amp;D=books&amp;AN=01337303$&amp;XPATH=/PG(0)&amp;EPUB=Y","http://ovidsp.ovid.com/ovidweb.cgi?T=JS&amp;NEWS=n&amp;CSC=Y&amp;PAGE=booktext&amp;D=books&amp;AN=01337303$&amp;XPATH=/PG(0)&amp;EPUB=Y")</f>
        <v>http://ovidsp.ovid.com/ovidweb.cgi?T=JS&amp;NEWS=n&amp;CSC=Y&amp;PAGE=booktext&amp;D=books&amp;AN=01337303$&amp;XPATH=/PG(0)&amp;EPUB=Y</v>
      </c>
      <c r="G1170" t="s">
        <v>2139</v>
      </c>
      <c r="H1170" t="s">
        <v>2974</v>
      </c>
      <c r="I1170">
        <v>1206726</v>
      </c>
      <c r="J1170" t="s">
        <v>3263</v>
      </c>
      <c r="K1170" t="s">
        <v>701</v>
      </c>
    </row>
    <row r="1171" spans="1:11" x14ac:dyDescent="0.3">
      <c r="A1171" t="s">
        <v>3084</v>
      </c>
      <c r="B1171" t="s">
        <v>94</v>
      </c>
      <c r="C1171" t="s">
        <v>1733</v>
      </c>
      <c r="D1171" t="s">
        <v>4111</v>
      </c>
      <c r="E1171" t="s">
        <v>2223</v>
      </c>
      <c r="F1171" s="1" t="str">
        <f>HYPERLINK("http://ovidsp.ovid.com/ovidweb.cgi?T=JS&amp;NEWS=n&amp;CSC=Y&amp;PAGE=booktext&amp;D=books&amp;AN=01382882$&amp;XPATH=/PG(0)&amp;EPUB=Y","http://ovidsp.ovid.com/ovidweb.cgi?T=JS&amp;NEWS=n&amp;CSC=Y&amp;PAGE=booktext&amp;D=books&amp;AN=01382882$&amp;XPATH=/PG(0)&amp;EPUB=Y")</f>
        <v>http://ovidsp.ovid.com/ovidweb.cgi?T=JS&amp;NEWS=n&amp;CSC=Y&amp;PAGE=booktext&amp;D=books&amp;AN=01382882$&amp;XPATH=/PG(0)&amp;EPUB=Y</v>
      </c>
      <c r="G1171" t="s">
        <v>2139</v>
      </c>
      <c r="H1171" t="s">
        <v>2974</v>
      </c>
      <c r="I1171">
        <v>1206726</v>
      </c>
      <c r="J1171" t="s">
        <v>3263</v>
      </c>
      <c r="K1171" t="s">
        <v>4241</v>
      </c>
    </row>
    <row r="1172" spans="1:11" x14ac:dyDescent="0.3">
      <c r="A1172" t="s">
        <v>789</v>
      </c>
      <c r="B1172" t="s">
        <v>29</v>
      </c>
      <c r="C1172" t="s">
        <v>1830</v>
      </c>
      <c r="D1172" t="s">
        <v>4111</v>
      </c>
      <c r="E1172" t="s">
        <v>2223</v>
      </c>
      <c r="F1172" s="1" t="str">
        <f>HYPERLINK("http://ovidsp.ovid.com/ovidweb.cgi?T=JS&amp;NEWS=n&amp;CSC=Y&amp;PAGE=booktext&amp;D=books&amp;AN=01382715$&amp;XPATH=/PG(0)&amp;EPUB=Y","http://ovidsp.ovid.com/ovidweb.cgi?T=JS&amp;NEWS=n&amp;CSC=Y&amp;PAGE=booktext&amp;D=books&amp;AN=01382715$&amp;XPATH=/PG(0)&amp;EPUB=Y")</f>
        <v>http://ovidsp.ovid.com/ovidweb.cgi?T=JS&amp;NEWS=n&amp;CSC=Y&amp;PAGE=booktext&amp;D=books&amp;AN=01382715$&amp;XPATH=/PG(0)&amp;EPUB=Y</v>
      </c>
      <c r="G1172" t="s">
        <v>2139</v>
      </c>
      <c r="H1172" t="s">
        <v>2974</v>
      </c>
      <c r="I1172">
        <v>1206726</v>
      </c>
      <c r="J1172" t="s">
        <v>3263</v>
      </c>
      <c r="K1172" t="s">
        <v>3692</v>
      </c>
    </row>
    <row r="1173" spans="1:11" x14ac:dyDescent="0.3">
      <c r="A1173" t="s">
        <v>2131</v>
      </c>
      <c r="B1173" t="s">
        <v>4069</v>
      </c>
      <c r="C1173" t="s">
        <v>961</v>
      </c>
      <c r="D1173" t="s">
        <v>4111</v>
      </c>
      <c r="E1173" t="s">
        <v>1104</v>
      </c>
      <c r="F1173" s="1" t="str">
        <f>HYPERLINK("http://ovidsp.ovid.com/ovidweb.cgi?T=JS&amp;NEWS=n&amp;CSC=Y&amp;PAGE=booktext&amp;D=books&amp;AN=01438898$&amp;XPATH=/PG(0)&amp;EPUB=Y","http://ovidsp.ovid.com/ovidweb.cgi?T=JS&amp;NEWS=n&amp;CSC=Y&amp;PAGE=booktext&amp;D=books&amp;AN=01438898$&amp;XPATH=/PG(0)&amp;EPUB=Y")</f>
        <v>http://ovidsp.ovid.com/ovidweb.cgi?T=JS&amp;NEWS=n&amp;CSC=Y&amp;PAGE=booktext&amp;D=books&amp;AN=01438898$&amp;XPATH=/PG(0)&amp;EPUB=Y</v>
      </c>
      <c r="G1173" t="s">
        <v>2139</v>
      </c>
      <c r="H1173" t="s">
        <v>2974</v>
      </c>
      <c r="I1173">
        <v>1206726</v>
      </c>
      <c r="J1173" t="s">
        <v>3263</v>
      </c>
      <c r="K1173" t="s">
        <v>4661</v>
      </c>
    </row>
    <row r="1174" spans="1:11" x14ac:dyDescent="0.3">
      <c r="A1174" t="s">
        <v>1124</v>
      </c>
      <c r="B1174" t="s">
        <v>4220</v>
      </c>
      <c r="C1174" t="s">
        <v>1775</v>
      </c>
      <c r="D1174" t="s">
        <v>4111</v>
      </c>
      <c r="E1174" t="s">
        <v>2223</v>
      </c>
      <c r="F1174" s="1" t="str">
        <f>HYPERLINK("http://ovidsp.ovid.com/ovidweb.cgi?T=JS&amp;NEWS=n&amp;CSC=Y&amp;PAGE=booktext&amp;D=books&amp;AN=01382801$&amp;XPATH=/PG(0)&amp;EPUB=Y","http://ovidsp.ovid.com/ovidweb.cgi?T=JS&amp;NEWS=n&amp;CSC=Y&amp;PAGE=booktext&amp;D=books&amp;AN=01382801$&amp;XPATH=/PG(0)&amp;EPUB=Y")</f>
        <v>http://ovidsp.ovid.com/ovidweb.cgi?T=JS&amp;NEWS=n&amp;CSC=Y&amp;PAGE=booktext&amp;D=books&amp;AN=01382801$&amp;XPATH=/PG(0)&amp;EPUB=Y</v>
      </c>
      <c r="G1174" t="s">
        <v>2139</v>
      </c>
      <c r="H1174" t="s">
        <v>2974</v>
      </c>
      <c r="I1174">
        <v>1206726</v>
      </c>
      <c r="J1174" t="s">
        <v>3263</v>
      </c>
      <c r="K1174" t="s">
        <v>858</v>
      </c>
    </row>
    <row r="1175" spans="1:11" x14ac:dyDescent="0.3">
      <c r="A1175" t="s">
        <v>3036</v>
      </c>
      <c r="B1175" t="s">
        <v>3983</v>
      </c>
      <c r="C1175" t="s">
        <v>707</v>
      </c>
      <c r="D1175" t="s">
        <v>4111</v>
      </c>
      <c r="E1175" t="s">
        <v>404</v>
      </c>
      <c r="F1175" s="1" t="str">
        <f>HYPERLINK("http://ovidsp.ovid.com/ovidweb.cgi?T=JS&amp;NEWS=n&amp;CSC=Y&amp;PAGE=booktext&amp;D=books&amp;AN=01382788$&amp;XPATH=/PG(0)&amp;EPUB=Y","http://ovidsp.ovid.com/ovidweb.cgi?T=JS&amp;NEWS=n&amp;CSC=Y&amp;PAGE=booktext&amp;D=books&amp;AN=01382788$&amp;XPATH=/PG(0)&amp;EPUB=Y")</f>
        <v>http://ovidsp.ovid.com/ovidweb.cgi?T=JS&amp;NEWS=n&amp;CSC=Y&amp;PAGE=booktext&amp;D=books&amp;AN=01382788$&amp;XPATH=/PG(0)&amp;EPUB=Y</v>
      </c>
      <c r="G1175" t="s">
        <v>2139</v>
      </c>
      <c r="H1175" t="s">
        <v>2974</v>
      </c>
      <c r="I1175">
        <v>1206726</v>
      </c>
      <c r="J1175" t="s">
        <v>3263</v>
      </c>
      <c r="K1175" t="s">
        <v>2576</v>
      </c>
    </row>
    <row r="1176" spans="1:11" x14ac:dyDescent="0.3">
      <c r="A1176" t="s">
        <v>4586</v>
      </c>
      <c r="B1176" t="s">
        <v>2952</v>
      </c>
      <c r="C1176" t="s">
        <v>2250</v>
      </c>
      <c r="D1176" t="s">
        <v>4111</v>
      </c>
      <c r="E1176" t="s">
        <v>404</v>
      </c>
      <c r="F1176" s="1" t="str">
        <f>HYPERLINK("http://ovidsp.ovid.com/ovidweb.cgi?T=JS&amp;NEWS=n&amp;CSC=Y&amp;PAGE=booktext&amp;D=books&amp;AN=01438899$&amp;XPATH=/PG(0)&amp;EPUB=Y","http://ovidsp.ovid.com/ovidweb.cgi?T=JS&amp;NEWS=n&amp;CSC=Y&amp;PAGE=booktext&amp;D=books&amp;AN=01438899$&amp;XPATH=/PG(0)&amp;EPUB=Y")</f>
        <v>http://ovidsp.ovid.com/ovidweb.cgi?T=JS&amp;NEWS=n&amp;CSC=Y&amp;PAGE=booktext&amp;D=books&amp;AN=01438899$&amp;XPATH=/PG(0)&amp;EPUB=Y</v>
      </c>
      <c r="G1176" t="s">
        <v>2139</v>
      </c>
      <c r="H1176" t="s">
        <v>2974</v>
      </c>
      <c r="I1176">
        <v>1206726</v>
      </c>
      <c r="J1176" t="s">
        <v>3263</v>
      </c>
      <c r="K1176" t="s">
        <v>3651</v>
      </c>
    </row>
    <row r="1177" spans="1:11" x14ac:dyDescent="0.3">
      <c r="A1177" t="s">
        <v>2620</v>
      </c>
      <c r="B1177" t="s">
        <v>468</v>
      </c>
      <c r="C1177" t="s">
        <v>2685</v>
      </c>
      <c r="D1177" t="s">
        <v>4111</v>
      </c>
      <c r="E1177" t="s">
        <v>2223</v>
      </c>
      <c r="F1177" s="1" t="str">
        <f>HYPERLINK("http://ovidsp.ovid.com/ovidweb.cgi?T=JS&amp;NEWS=n&amp;CSC=Y&amp;PAGE=booktext&amp;D=books&amp;AN=01429612$&amp;XPATH=/PG(0)&amp;EPUB=Y","http://ovidsp.ovid.com/ovidweb.cgi?T=JS&amp;NEWS=n&amp;CSC=Y&amp;PAGE=booktext&amp;D=books&amp;AN=01429612$&amp;XPATH=/PG(0)&amp;EPUB=Y")</f>
        <v>http://ovidsp.ovid.com/ovidweb.cgi?T=JS&amp;NEWS=n&amp;CSC=Y&amp;PAGE=booktext&amp;D=books&amp;AN=01429612$&amp;XPATH=/PG(0)&amp;EPUB=Y</v>
      </c>
      <c r="G1177" t="s">
        <v>2139</v>
      </c>
      <c r="H1177" t="s">
        <v>2974</v>
      </c>
      <c r="I1177">
        <v>1206726</v>
      </c>
      <c r="J1177" t="s">
        <v>3263</v>
      </c>
      <c r="K1177" t="s">
        <v>319</v>
      </c>
    </row>
    <row r="1178" spans="1:11" x14ac:dyDescent="0.3">
      <c r="A1178" t="s">
        <v>1534</v>
      </c>
      <c r="B1178" t="s">
        <v>3414</v>
      </c>
      <c r="C1178" t="s">
        <v>145</v>
      </c>
      <c r="D1178" t="s">
        <v>4111</v>
      </c>
      <c r="E1178" t="s">
        <v>2876</v>
      </c>
      <c r="F1178" s="1" t="str">
        <f>HYPERLINK("http://ovidsp.ovid.com/ovidweb.cgi?T=JS&amp;NEWS=n&amp;CSC=Y&amp;PAGE=booktext&amp;D=books&amp;AN=01437582$&amp;XPATH=/PG(0)&amp;EPUB=Y","http://ovidsp.ovid.com/ovidweb.cgi?T=JS&amp;NEWS=n&amp;CSC=Y&amp;PAGE=booktext&amp;D=books&amp;AN=01437582$&amp;XPATH=/PG(0)&amp;EPUB=Y")</f>
        <v>http://ovidsp.ovid.com/ovidweb.cgi?T=JS&amp;NEWS=n&amp;CSC=Y&amp;PAGE=booktext&amp;D=books&amp;AN=01437582$&amp;XPATH=/PG(0)&amp;EPUB=Y</v>
      </c>
      <c r="G1178" t="s">
        <v>2139</v>
      </c>
      <c r="H1178" t="s">
        <v>2974</v>
      </c>
      <c r="I1178">
        <v>1206726</v>
      </c>
      <c r="J1178" t="s">
        <v>3263</v>
      </c>
      <c r="K1178" t="s">
        <v>3145</v>
      </c>
    </row>
    <row r="1179" spans="1:11" x14ac:dyDescent="0.3">
      <c r="A1179" t="s">
        <v>751</v>
      </c>
      <c r="B1179" t="s">
        <v>2736</v>
      </c>
      <c r="C1179" t="s">
        <v>2825</v>
      </c>
      <c r="D1179" t="s">
        <v>4111</v>
      </c>
      <c r="E1179" t="s">
        <v>2223</v>
      </c>
      <c r="F1179" s="1" t="str">
        <f>HYPERLINK("http://ovidsp.ovid.com/ovidweb.cgi?T=JS&amp;NEWS=n&amp;CSC=Y&amp;PAGE=booktext&amp;D=books&amp;AN=01439426$&amp;XPATH=/PG(0)&amp;EPUB=Y","http://ovidsp.ovid.com/ovidweb.cgi?T=JS&amp;NEWS=n&amp;CSC=Y&amp;PAGE=booktext&amp;D=books&amp;AN=01439426$&amp;XPATH=/PG(0)&amp;EPUB=Y")</f>
        <v>http://ovidsp.ovid.com/ovidweb.cgi?T=JS&amp;NEWS=n&amp;CSC=Y&amp;PAGE=booktext&amp;D=books&amp;AN=01439426$&amp;XPATH=/PG(0)&amp;EPUB=Y</v>
      </c>
      <c r="G1179" t="s">
        <v>2139</v>
      </c>
      <c r="H1179" t="s">
        <v>2974</v>
      </c>
      <c r="I1179">
        <v>1206726</v>
      </c>
      <c r="J1179" t="s">
        <v>3263</v>
      </c>
      <c r="K1179" t="s">
        <v>2025</v>
      </c>
    </row>
    <row r="1180" spans="1:11" x14ac:dyDescent="0.3">
      <c r="A1180" t="s">
        <v>1878</v>
      </c>
      <c r="B1180" t="s">
        <v>3376</v>
      </c>
      <c r="C1180" t="s">
        <v>1512</v>
      </c>
      <c r="D1180" t="s">
        <v>4111</v>
      </c>
      <c r="E1180" t="s">
        <v>1595</v>
      </c>
      <c r="F1180" s="1" t="str">
        <f>HYPERLINK("http://ovidsp.ovid.com/ovidweb.cgi?T=JS&amp;NEWS=n&amp;CSC=Y&amp;PAGE=booktext&amp;D=books&amp;AN=01899893$&amp;XPATH=/PG(0)&amp;EPUB=Y","http://ovidsp.ovid.com/ovidweb.cgi?T=JS&amp;NEWS=n&amp;CSC=Y&amp;PAGE=booktext&amp;D=books&amp;AN=01899893$&amp;XPATH=/PG(0)&amp;EPUB=Y")</f>
        <v>http://ovidsp.ovid.com/ovidweb.cgi?T=JS&amp;NEWS=n&amp;CSC=Y&amp;PAGE=booktext&amp;D=books&amp;AN=01899893$&amp;XPATH=/PG(0)&amp;EPUB=Y</v>
      </c>
      <c r="G1180" t="s">
        <v>2139</v>
      </c>
      <c r="H1180" t="s">
        <v>2974</v>
      </c>
      <c r="I1180">
        <v>1206726</v>
      </c>
      <c r="J1180" t="s">
        <v>3263</v>
      </c>
      <c r="K1180" t="s">
        <v>2802</v>
      </c>
    </row>
    <row r="1181" spans="1:11" x14ac:dyDescent="0.3">
      <c r="A1181" t="s">
        <v>2651</v>
      </c>
      <c r="B1181" t="s">
        <v>4587</v>
      </c>
      <c r="C1181" t="s">
        <v>2930</v>
      </c>
      <c r="D1181" t="s">
        <v>4111</v>
      </c>
      <c r="E1181" t="s">
        <v>1104</v>
      </c>
      <c r="F1181" s="1" t="str">
        <f>HYPERLINK("http://ovidsp.ovid.com/ovidweb.cgi?T=JS&amp;NEWS=n&amp;CSC=Y&amp;PAGE=booktext&amp;D=books&amp;AN=01437580$&amp;XPATH=/PG(0)&amp;EPUB=Y","http://ovidsp.ovid.com/ovidweb.cgi?T=JS&amp;NEWS=n&amp;CSC=Y&amp;PAGE=booktext&amp;D=books&amp;AN=01437580$&amp;XPATH=/PG(0)&amp;EPUB=Y")</f>
        <v>http://ovidsp.ovid.com/ovidweb.cgi?T=JS&amp;NEWS=n&amp;CSC=Y&amp;PAGE=booktext&amp;D=books&amp;AN=01437580$&amp;XPATH=/PG(0)&amp;EPUB=Y</v>
      </c>
      <c r="G1181" t="s">
        <v>2139</v>
      </c>
      <c r="H1181" t="s">
        <v>2974</v>
      </c>
      <c r="I1181">
        <v>1206726</v>
      </c>
      <c r="J1181" t="s">
        <v>3263</v>
      </c>
      <c r="K1181" t="s">
        <v>3020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1차 2015-LWW 8종</vt:lpstr>
      <vt:lpstr>2차 2019-LWW Classic 1180종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hykim</dc:creator>
  <cp:lastModifiedBy>Windows 사용자</cp:lastModifiedBy>
  <dcterms:created xsi:type="dcterms:W3CDTF">2019-10-04T00:52:29Z</dcterms:created>
  <dcterms:modified xsi:type="dcterms:W3CDTF">2019-10-29T02:10:44Z</dcterms:modified>
</cp:coreProperties>
</file>